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Máquina RFB\Pregão\17- Serviços de vigilância - Maranhão e Piauí - e-dossiê nº 13075.1414642025-18\Planilhas\Planilhas e memória de Cálculos - Grupo 1 com substituto  - Editáveis\"/>
    </mc:Choice>
  </mc:AlternateContent>
  <xr:revisionPtr revIDLastSave="0" documentId="13_ncr:1_{FEDB7B4F-E139-491B-839E-EC2FDEFC30C1}" xr6:coauthVersionLast="47" xr6:coauthVersionMax="47" xr10:uidLastSave="{00000000-0000-0000-0000-000000000000}"/>
  <bookViews>
    <workbookView xWindow="-110" yWindow="-110" windowWidth="19420" windowHeight="10300" tabRatio="937" xr2:uid="{00000000-000D-0000-FFFF-FFFF00000000}"/>
  </bookViews>
  <sheets>
    <sheet name="Resumo dos custos do Grupo 1" sheetId="13" r:id="rId1"/>
    <sheet name="Uniforme e Materiais - Grupo 1" sheetId="1" r:id="rId2"/>
    <sheet name="Inserir dados na planilha" sheetId="22" r:id="rId3"/>
    <sheet name="Vigilante 44h Diurno DRF-TSA-PI" sheetId="16" r:id="rId4"/>
    <sheet name="Vigilante 44h Diurno ARF-PBA-PI" sheetId="19" r:id="rId5"/>
    <sheet name="Vigilante 44h Diurno ARF-FLO-PI" sheetId="20" r:id="rId6"/>
    <sheet name="Vigilante 12x36 Diurno DMA-TSA" sheetId="15" r:id="rId7"/>
    <sheet name="Vigilante 12x36 Noturno DMA" sheetId="14" r:id="rId8"/>
    <sheet name="Recepcionista" sheetId="4" state="hidden" r:id="rId9"/>
    <sheet name="Recepcionista_3030" sheetId="5" state="hidden" r:id="rId10"/>
    <sheet name="Motorista_B" sheetId="6" state="hidden" r:id="rId11"/>
    <sheet name="Motorista_C" sheetId="7" state="hidden" r:id="rId12"/>
    <sheet name="Copeira" sheetId="8" state="hidden" r:id="rId13"/>
    <sheet name="Carregador_44h" sheetId="9" state="hidden" r:id="rId14"/>
    <sheet name="Carregafor_44_3030" sheetId="10" state="hidden" r:id="rId15"/>
    <sheet name="Carregador_12x36_diurno" sheetId="11" state="hidden" r:id="rId16"/>
    <sheet name="Carregador_12x36_noturno" sheetId="12" state="hidden" r:id="rId17"/>
  </sheets>
  <definedNames>
    <definedName name="_xlnm.Print_Area" localSheetId="0">'Resumo dos custos do Grupo 1'!$A$2:$G$9</definedName>
    <definedName name="_xlnm.Print_Area" localSheetId="6">'Vigilante 12x36 Diurno DMA-TSA'!$A$1:$I$198</definedName>
    <definedName name="_xlnm.Print_Area" localSheetId="7">'Vigilante 12x36 Noturno DMA'!$A$1:$I$198</definedName>
    <definedName name="_xlnm.Print_Area" localSheetId="3">'Vigilante 44h Diurno DRF-TSA-PI'!$A$1:$I$195</definedName>
    <definedName name="Print_Area" localSheetId="15">"carreg_12x36_diu_(fort).[.$A$2]:carreg_12x36_diu_(fort).[.$I$180]"</definedName>
    <definedName name="Print_Area" localSheetId="13">"carreg_44h_(fort).[.$A$1]:carreg_44h_(fort).[.$J$158]"</definedName>
    <definedName name="Print_Area" localSheetId="10">"mot_cat_b_(fort).[.$A$2]:mot_cat_b_(fort).[.$J$169]"</definedName>
    <definedName name="Print_Area" localSheetId="8">"recep_(fort).[.$A$1]:recep_(fort).[.$J$163]"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H83" i="20" l="1"/>
  <c r="H83" i="19"/>
  <c r="I51" i="14"/>
  <c r="H88" i="14"/>
  <c r="H88" i="15"/>
  <c r="H88" i="20"/>
  <c r="H88" i="19"/>
  <c r="H88" i="16"/>
  <c r="F4" i="14" l="1"/>
  <c r="F4" i="15"/>
  <c r="F4" i="20"/>
  <c r="F4" i="19"/>
  <c r="F4" i="16"/>
  <c r="D34" i="1" l="1"/>
  <c r="F34" i="1" s="1"/>
  <c r="D35" i="1"/>
  <c r="F35" i="1"/>
  <c r="D33" i="1"/>
  <c r="F33" i="1" s="1"/>
  <c r="D32" i="1"/>
  <c r="F32" i="1" s="1"/>
  <c r="D15" i="1"/>
  <c r="F15" i="1" s="1"/>
  <c r="D16" i="1"/>
  <c r="F16" i="1" s="1"/>
  <c r="D17" i="1"/>
  <c r="F17" i="1" s="1"/>
  <c r="G90" i="16"/>
  <c r="G24" i="14" l="1"/>
  <c r="H164" i="20"/>
  <c r="H167" i="14"/>
  <c r="H164" i="14"/>
  <c r="H163" i="14"/>
  <c r="H159" i="14"/>
  <c r="H157" i="14"/>
  <c r="H127" i="14"/>
  <c r="H126" i="14"/>
  <c r="H125" i="14"/>
  <c r="H124" i="14"/>
  <c r="H123" i="14"/>
  <c r="H123" i="15"/>
  <c r="H124" i="15"/>
  <c r="H125" i="15"/>
  <c r="H126" i="15"/>
  <c r="H127" i="15"/>
  <c r="H94" i="14"/>
  <c r="I94" i="14" s="1"/>
  <c r="H93" i="14"/>
  <c r="I93" i="14" s="1"/>
  <c r="H92" i="14"/>
  <c r="I92" i="14" s="1"/>
  <c r="H91" i="14"/>
  <c r="I91" i="14" s="1"/>
  <c r="I90" i="14"/>
  <c r="H90" i="14"/>
  <c r="I87" i="14" s="1"/>
  <c r="G90" i="14"/>
  <c r="H74" i="14"/>
  <c r="H73" i="14"/>
  <c r="H72" i="14"/>
  <c r="H71" i="14"/>
  <c r="G70" i="14"/>
  <c r="E70" i="14"/>
  <c r="H69" i="14"/>
  <c r="H68" i="14"/>
  <c r="H23" i="14"/>
  <c r="H22" i="14"/>
  <c r="H21" i="14"/>
  <c r="H20" i="14"/>
  <c r="F12" i="14"/>
  <c r="A12" i="14"/>
  <c r="H19" i="14" s="1"/>
  <c r="H9" i="14"/>
  <c r="H8" i="14"/>
  <c r="H6" i="14"/>
  <c r="F3" i="14"/>
  <c r="F2" i="14"/>
  <c r="H167" i="15"/>
  <c r="H164" i="15"/>
  <c r="H163" i="15"/>
  <c r="H159" i="15"/>
  <c r="H157" i="15"/>
  <c r="H94" i="15"/>
  <c r="I94" i="15" s="1"/>
  <c r="H93" i="15"/>
  <c r="I93" i="15" s="1"/>
  <c r="H92" i="15"/>
  <c r="I92" i="15" s="1"/>
  <c r="H91" i="15"/>
  <c r="I91" i="15" s="1"/>
  <c r="I90" i="15"/>
  <c r="H90" i="15"/>
  <c r="I87" i="15" s="1"/>
  <c r="G90" i="15"/>
  <c r="H74" i="15"/>
  <c r="H73" i="15"/>
  <c r="H72" i="15"/>
  <c r="H71" i="15"/>
  <c r="G70" i="15"/>
  <c r="E70" i="15"/>
  <c r="H69" i="15"/>
  <c r="H68" i="15"/>
  <c r="G24" i="15"/>
  <c r="H23" i="15"/>
  <c r="H22" i="15"/>
  <c r="H21" i="15"/>
  <c r="H20" i="15"/>
  <c r="F12" i="15"/>
  <c r="A12" i="15"/>
  <c r="H19" i="15" s="1"/>
  <c r="H9" i="15"/>
  <c r="H8" i="15"/>
  <c r="H6" i="15"/>
  <c r="F3" i="15"/>
  <c r="F2" i="15"/>
  <c r="H161" i="20"/>
  <c r="H160" i="20"/>
  <c r="H156" i="20"/>
  <c r="H154" i="20"/>
  <c r="H127" i="20"/>
  <c r="H126" i="20"/>
  <c r="H125" i="20"/>
  <c r="H124" i="20"/>
  <c r="H123" i="20"/>
  <c r="H94" i="20"/>
  <c r="I94" i="20" s="1"/>
  <c r="H93" i="20"/>
  <c r="I93" i="20" s="1"/>
  <c r="H92" i="20"/>
  <c r="I92" i="20" s="1"/>
  <c r="H91" i="20"/>
  <c r="I91" i="20" s="1"/>
  <c r="I90" i="20"/>
  <c r="H90" i="20"/>
  <c r="I87" i="20" s="1"/>
  <c r="G90" i="20"/>
  <c r="H74" i="20"/>
  <c r="H73" i="20"/>
  <c r="H72" i="20"/>
  <c r="H71" i="20"/>
  <c r="G70" i="20"/>
  <c r="E70" i="20"/>
  <c r="H69" i="20"/>
  <c r="H68" i="20"/>
  <c r="G24" i="20"/>
  <c r="H23" i="20"/>
  <c r="H22" i="20"/>
  <c r="H21" i="20"/>
  <c r="H20" i="20"/>
  <c r="F12" i="20"/>
  <c r="A12" i="20"/>
  <c r="H19" i="20" s="1"/>
  <c r="H9" i="20"/>
  <c r="H8" i="20"/>
  <c r="H6" i="20"/>
  <c r="F3" i="20"/>
  <c r="F2" i="20"/>
  <c r="H6" i="19"/>
  <c r="F3" i="19"/>
  <c r="F2" i="19"/>
  <c r="F12" i="19"/>
  <c r="A12" i="19"/>
  <c r="H19" i="19" s="1"/>
  <c r="H9" i="19"/>
  <c r="H8" i="19"/>
  <c r="G24" i="19"/>
  <c r="H23" i="19"/>
  <c r="H22" i="19"/>
  <c r="H21" i="19"/>
  <c r="H20" i="19"/>
  <c r="H74" i="19"/>
  <c r="H73" i="19"/>
  <c r="H72" i="19"/>
  <c r="H71" i="19"/>
  <c r="G70" i="19"/>
  <c r="E70" i="19"/>
  <c r="H69" i="19"/>
  <c r="H68" i="19"/>
  <c r="H94" i="19"/>
  <c r="I94" i="19" s="1"/>
  <c r="H93" i="19"/>
  <c r="I93" i="19" s="1"/>
  <c r="H92" i="19"/>
  <c r="I92" i="19" s="1"/>
  <c r="H91" i="19"/>
  <c r="I91" i="19" s="1"/>
  <c r="I90" i="19"/>
  <c r="H90" i="19"/>
  <c r="I87" i="19" s="1"/>
  <c r="G90" i="19"/>
  <c r="H127" i="19"/>
  <c r="H126" i="19"/>
  <c r="H125" i="19"/>
  <c r="H124" i="19"/>
  <c r="H123" i="19"/>
  <c r="H164" i="19"/>
  <c r="H161" i="19"/>
  <c r="H160" i="19"/>
  <c r="H156" i="19"/>
  <c r="H154" i="19"/>
  <c r="H164" i="16"/>
  <c r="H161" i="16"/>
  <c r="H160" i="16"/>
  <c r="H156" i="16"/>
  <c r="H154" i="16"/>
  <c r="H124" i="16"/>
  <c r="H125" i="16"/>
  <c r="H126" i="16"/>
  <c r="H127" i="16"/>
  <c r="H123" i="16"/>
  <c r="H93" i="16"/>
  <c r="I93" i="16" s="1"/>
  <c r="H94" i="16"/>
  <c r="I94" i="16" s="1"/>
  <c r="H92" i="16"/>
  <c r="I92" i="16" s="1"/>
  <c r="H91" i="16"/>
  <c r="I91" i="16" s="1"/>
  <c r="H90" i="16"/>
  <c r="I87" i="16" s="1"/>
  <c r="I90" i="16"/>
  <c r="H83" i="16"/>
  <c r="H72" i="16"/>
  <c r="H73" i="16"/>
  <c r="H74" i="16"/>
  <c r="H71" i="16"/>
  <c r="G70" i="16"/>
  <c r="E70" i="16"/>
  <c r="H69" i="16"/>
  <c r="H68" i="16"/>
  <c r="G24" i="16"/>
  <c r="H23" i="16"/>
  <c r="H22" i="16"/>
  <c r="H20" i="16"/>
  <c r="F12" i="16"/>
  <c r="A12" i="16"/>
  <c r="H19" i="16" s="1"/>
  <c r="H9" i="16"/>
  <c r="H6" i="16"/>
  <c r="F3" i="16"/>
  <c r="F2" i="16"/>
  <c r="H21" i="16"/>
  <c r="I43" i="16" s="1"/>
  <c r="H8" i="16"/>
  <c r="H24" i="16" l="1"/>
  <c r="H25" i="16" s="1"/>
  <c r="H24" i="15"/>
  <c r="I82" i="16"/>
  <c r="I82" i="19"/>
  <c r="I43" i="19"/>
  <c r="H24" i="19"/>
  <c r="I82" i="20"/>
  <c r="I43" i="20"/>
  <c r="H24" i="20"/>
  <c r="I82" i="15"/>
  <c r="I43" i="15"/>
  <c r="I43" i="14"/>
  <c r="I82" i="14"/>
  <c r="H24" i="14"/>
  <c r="H70" i="16"/>
  <c r="H70" i="14"/>
  <c r="H70" i="15"/>
  <c r="H70" i="19"/>
  <c r="H70" i="20"/>
  <c r="E9" i="13"/>
  <c r="D14" i="1"/>
  <c r="F14" i="1" s="1"/>
  <c r="I44" i="16" l="1"/>
  <c r="I44" i="19"/>
  <c r="H25" i="19"/>
  <c r="H25" i="20"/>
  <c r="I44" i="20"/>
  <c r="H25" i="15"/>
  <c r="H26" i="15" s="1"/>
  <c r="I132" i="15" s="1"/>
  <c r="I44" i="15"/>
  <c r="H25" i="14"/>
  <c r="H26" i="14" s="1"/>
  <c r="I132" i="14" s="1"/>
  <c r="I44" i="14"/>
  <c r="G192" i="20"/>
  <c r="I186" i="20"/>
  <c r="H167" i="20"/>
  <c r="I138" i="20"/>
  <c r="H76" i="20"/>
  <c r="I50" i="20"/>
  <c r="I51" i="20" s="1"/>
  <c r="G192" i="19"/>
  <c r="I186" i="19"/>
  <c r="H167" i="19"/>
  <c r="I138" i="19"/>
  <c r="H76" i="19"/>
  <c r="I50" i="19"/>
  <c r="I51" i="19" s="1"/>
  <c r="I95" i="19"/>
  <c r="I103" i="19" s="1"/>
  <c r="I134" i="14" l="1"/>
  <c r="I133" i="14"/>
  <c r="I134" i="15"/>
  <c r="I133" i="15"/>
  <c r="H36" i="15"/>
  <c r="H27" i="14"/>
  <c r="H36" i="14"/>
  <c r="H30" i="14"/>
  <c r="H28" i="14"/>
  <c r="H34" i="14"/>
  <c r="I48" i="20"/>
  <c r="I61" i="20" l="1"/>
  <c r="I121" i="20"/>
  <c r="I122" i="20" s="1"/>
  <c r="I60" i="20"/>
  <c r="I113" i="20"/>
  <c r="H113" i="20" s="1"/>
  <c r="H29" i="14"/>
  <c r="H35" i="14" s="1"/>
  <c r="I46" i="14" s="1"/>
  <c r="I45" i="14"/>
  <c r="B118" i="20"/>
  <c r="I53" i="20"/>
  <c r="I48" i="19"/>
  <c r="H44" i="19"/>
  <c r="I121" i="19" l="1"/>
  <c r="I122" i="19" s="1"/>
  <c r="I61" i="19"/>
  <c r="I60" i="19"/>
  <c r="I113" i="19"/>
  <c r="H113" i="19" s="1"/>
  <c r="I176" i="20"/>
  <c r="I62" i="20"/>
  <c r="B118" i="19"/>
  <c r="I53" i="19"/>
  <c r="I70" i="20" l="1"/>
  <c r="I108" i="20"/>
  <c r="I109" i="20" s="1"/>
  <c r="I110" i="20"/>
  <c r="I73" i="20"/>
  <c r="I68" i="20"/>
  <c r="I111" i="20"/>
  <c r="I112" i="20" s="1"/>
  <c r="I74" i="20"/>
  <c r="I69" i="20"/>
  <c r="I72" i="20"/>
  <c r="I75" i="20"/>
  <c r="I71" i="20"/>
  <c r="H122" i="20"/>
  <c r="I101" i="20"/>
  <c r="I176" i="19"/>
  <c r="I62" i="19"/>
  <c r="I108" i="19" l="1"/>
  <c r="I109" i="19" s="1"/>
  <c r="I68" i="19"/>
  <c r="I111" i="19"/>
  <c r="I112" i="19" s="1"/>
  <c r="I75" i="19"/>
  <c r="I74" i="19"/>
  <c r="I70" i="19"/>
  <c r="I72" i="19"/>
  <c r="I110" i="19"/>
  <c r="I69" i="19"/>
  <c r="I73" i="19"/>
  <c r="I71" i="19"/>
  <c r="H109" i="20"/>
  <c r="H108" i="20"/>
  <c r="H112" i="20"/>
  <c r="H111" i="20"/>
  <c r="H122" i="19"/>
  <c r="I76" i="20"/>
  <c r="I102" i="20" s="1"/>
  <c r="I101" i="19"/>
  <c r="H111" i="19" l="1"/>
  <c r="H112" i="19"/>
  <c r="H109" i="19"/>
  <c r="H108" i="19"/>
  <c r="I114" i="20"/>
  <c r="I178" i="20" s="1"/>
  <c r="I76" i="19"/>
  <c r="I102" i="19" s="1"/>
  <c r="I104" i="19" s="1"/>
  <c r="H118" i="20" l="1"/>
  <c r="I114" i="19"/>
  <c r="H118" i="19" s="1"/>
  <c r="E118" i="19"/>
  <c r="I177" i="19"/>
  <c r="I178" i="19" l="1"/>
  <c r="I118" i="19"/>
  <c r="I127" i="19" l="1"/>
  <c r="I126" i="19"/>
  <c r="I125" i="19"/>
  <c r="I123" i="19"/>
  <c r="I124" i="19"/>
  <c r="I128" i="19" l="1"/>
  <c r="I137" i="19" s="1"/>
  <c r="I139" i="19" s="1"/>
  <c r="I179" i="19" l="1"/>
  <c r="D13" i="1" l="1"/>
  <c r="F13" i="1" s="1"/>
  <c r="D12" i="1"/>
  <c r="F12" i="1" s="1"/>
  <c r="I189" i="14"/>
  <c r="I189" i="15"/>
  <c r="I186" i="16"/>
  <c r="D9" i="13"/>
  <c r="I48" i="15" l="1"/>
  <c r="I60" i="15" l="1"/>
  <c r="I61" i="15"/>
  <c r="I113" i="15"/>
  <c r="H113" i="15" s="1"/>
  <c r="I121" i="15"/>
  <c r="G192" i="16"/>
  <c r="I138" i="16"/>
  <c r="I50" i="16"/>
  <c r="I51" i="16" s="1"/>
  <c r="G195" i="15"/>
  <c r="I51" i="15"/>
  <c r="I53" i="15" s="1"/>
  <c r="G195" i="14"/>
  <c r="I187" i="14"/>
  <c r="H170" i="14"/>
  <c r="H76" i="14"/>
  <c r="I135" i="14" s="1"/>
  <c r="I136" i="14" s="1"/>
  <c r="I141" i="14" s="1"/>
  <c r="G165" i="12"/>
  <c r="H165" i="12" s="1"/>
  <c r="H144" i="12"/>
  <c r="H131" i="12"/>
  <c r="I111" i="12"/>
  <c r="I112" i="12" s="1"/>
  <c r="I117" i="12" s="1"/>
  <c r="I72" i="12"/>
  <c r="I67" i="12"/>
  <c r="I62" i="12"/>
  <c r="I74" i="12" s="1"/>
  <c r="I80" i="12" s="1"/>
  <c r="H52" i="12"/>
  <c r="H58" i="12" s="1"/>
  <c r="I32" i="12"/>
  <c r="H25" i="12"/>
  <c r="G164" i="11"/>
  <c r="H164" i="11" s="1"/>
  <c r="H143" i="11"/>
  <c r="H130" i="11"/>
  <c r="I110" i="11"/>
  <c r="I111" i="11" s="1"/>
  <c r="I116" i="11" s="1"/>
  <c r="I96" i="11"/>
  <c r="I88" i="11"/>
  <c r="I66" i="11"/>
  <c r="H51" i="11"/>
  <c r="H57" i="11" s="1"/>
  <c r="I35" i="11"/>
  <c r="I36" i="11" s="1"/>
  <c r="I33" i="11"/>
  <c r="I31" i="11"/>
  <c r="I71" i="11" s="1"/>
  <c r="H25" i="11"/>
  <c r="H26" i="11" s="1"/>
  <c r="J144" i="10"/>
  <c r="I133" i="10"/>
  <c r="I120" i="10"/>
  <c r="J113" i="10"/>
  <c r="J67" i="10"/>
  <c r="J54" i="10"/>
  <c r="I40" i="10"/>
  <c r="I46" i="10" s="1"/>
  <c r="J23" i="10"/>
  <c r="J50" i="10" s="1"/>
  <c r="J61" i="10" s="1"/>
  <c r="J144" i="9"/>
  <c r="I133" i="9"/>
  <c r="I120" i="9"/>
  <c r="J113" i="9"/>
  <c r="J99" i="9"/>
  <c r="J104" i="9" s="1"/>
  <c r="J98" i="9"/>
  <c r="J85" i="9"/>
  <c r="J74" i="9"/>
  <c r="J54" i="9"/>
  <c r="J50" i="9"/>
  <c r="J61" i="9" s="1"/>
  <c r="J67" i="9" s="1"/>
  <c r="J43" i="9"/>
  <c r="J42" i="9"/>
  <c r="J41" i="9"/>
  <c r="I40" i="9"/>
  <c r="I46" i="9" s="1"/>
  <c r="J31" i="9"/>
  <c r="J30" i="9"/>
  <c r="J25" i="9"/>
  <c r="J23" i="9"/>
  <c r="I134" i="8"/>
  <c r="I121" i="8"/>
  <c r="J89" i="8"/>
  <c r="J67" i="8"/>
  <c r="J54" i="8"/>
  <c r="J50" i="8"/>
  <c r="J61" i="8" s="1"/>
  <c r="I46" i="8"/>
  <c r="J41" i="8"/>
  <c r="J40" i="8"/>
  <c r="I40" i="8"/>
  <c r="J25" i="8"/>
  <c r="J23" i="8"/>
  <c r="I138" i="7"/>
  <c r="J99" i="7"/>
  <c r="J100" i="7" s="1"/>
  <c r="J107" i="7" s="1"/>
  <c r="J53" i="7"/>
  <c r="I39" i="7"/>
  <c r="I45" i="7" s="1"/>
  <c r="J22" i="7"/>
  <c r="J147" i="6"/>
  <c r="I130" i="6"/>
  <c r="I129" i="6"/>
  <c r="I123" i="6"/>
  <c r="I125" i="6" s="1"/>
  <c r="J88" i="6"/>
  <c r="J74" i="6"/>
  <c r="J75" i="6" s="1"/>
  <c r="J57" i="6"/>
  <c r="J53" i="6"/>
  <c r="J49" i="6"/>
  <c r="J60" i="6" s="1"/>
  <c r="J66" i="6" s="1"/>
  <c r="I45" i="6"/>
  <c r="J40" i="6"/>
  <c r="J39" i="6"/>
  <c r="I39" i="6"/>
  <c r="H39" i="6"/>
  <c r="F39" i="6"/>
  <c r="J37" i="6"/>
  <c r="J22" i="6"/>
  <c r="J24" i="6" s="1"/>
  <c r="J141" i="5"/>
  <c r="I134" i="5"/>
  <c r="I121" i="5"/>
  <c r="J85" i="5"/>
  <c r="J81" i="5"/>
  <c r="J75" i="5"/>
  <c r="J74" i="5"/>
  <c r="J54" i="5"/>
  <c r="J45" i="5"/>
  <c r="J44" i="5"/>
  <c r="I40" i="5"/>
  <c r="J39" i="5"/>
  <c r="J31" i="5"/>
  <c r="J30" i="5"/>
  <c r="J32" i="5" s="1"/>
  <c r="J25" i="5"/>
  <c r="J77" i="5" s="1"/>
  <c r="J23" i="5"/>
  <c r="J50" i="5" s="1"/>
  <c r="J61" i="5" s="1"/>
  <c r="J67" i="5" s="1"/>
  <c r="J141" i="4"/>
  <c r="I134" i="4"/>
  <c r="I121" i="4"/>
  <c r="J99" i="4"/>
  <c r="J100" i="4" s="1"/>
  <c r="J105" i="4" s="1"/>
  <c r="J77" i="4"/>
  <c r="J54" i="4"/>
  <c r="J50" i="4"/>
  <c r="J61" i="4" s="1"/>
  <c r="J67" i="4" s="1"/>
  <c r="J44" i="4"/>
  <c r="I40" i="4"/>
  <c r="I46" i="4" s="1"/>
  <c r="J39" i="4"/>
  <c r="J38" i="4"/>
  <c r="J25" i="4"/>
  <c r="J23" i="4"/>
  <c r="D31" i="1"/>
  <c r="F31" i="1" s="1"/>
  <c r="D30" i="1"/>
  <c r="F30" i="1" s="1"/>
  <c r="D29" i="1"/>
  <c r="F29" i="1" s="1"/>
  <c r="D28" i="1"/>
  <c r="F28" i="1" s="1"/>
  <c r="D27" i="1"/>
  <c r="F27" i="1" s="1"/>
  <c r="D26" i="1"/>
  <c r="F26" i="1" s="1"/>
  <c r="D25" i="1"/>
  <c r="F25" i="1" s="1"/>
  <c r="D24" i="1"/>
  <c r="F24" i="1" s="1"/>
  <c r="D23" i="1"/>
  <c r="F23" i="1" s="1"/>
  <c r="D11" i="1"/>
  <c r="F11" i="1" s="1"/>
  <c r="D10" i="1"/>
  <c r="F10" i="1" s="1"/>
  <c r="D9" i="1"/>
  <c r="F9" i="1" s="1"/>
  <c r="D8" i="1"/>
  <c r="F8" i="1" s="1"/>
  <c r="D7" i="1"/>
  <c r="F7" i="1" s="1"/>
  <c r="D6" i="1"/>
  <c r="F6" i="1" s="1"/>
  <c r="F36" i="1" l="1"/>
  <c r="F18" i="1"/>
  <c r="H31" i="14"/>
  <c r="I95" i="14"/>
  <c r="I103" i="14" s="1"/>
  <c r="H76" i="15"/>
  <c r="I135" i="15" s="1"/>
  <c r="I136" i="15" s="1"/>
  <c r="I141" i="15" s="1"/>
  <c r="H170" i="15"/>
  <c r="H167" i="16"/>
  <c r="H76" i="16"/>
  <c r="I46" i="5"/>
  <c r="J40" i="5"/>
  <c r="J88" i="5"/>
  <c r="J87" i="5"/>
  <c r="J90" i="5"/>
  <c r="J86" i="5"/>
  <c r="J91" i="5" s="1"/>
  <c r="J49" i="7"/>
  <c r="J60" i="7" s="1"/>
  <c r="J66" i="7" s="1"/>
  <c r="J24" i="7"/>
  <c r="J72" i="9"/>
  <c r="J81" i="9"/>
  <c r="J98" i="10"/>
  <c r="J99" i="10" s="1"/>
  <c r="J104" i="10" s="1"/>
  <c r="J99" i="6"/>
  <c r="J100" i="6" s="1"/>
  <c r="J107" i="6" s="1"/>
  <c r="J44" i="8"/>
  <c r="J39" i="8"/>
  <c r="J30" i="8"/>
  <c r="J45" i="8"/>
  <c r="J38" i="8"/>
  <c r="J75" i="8"/>
  <c r="J76" i="8" s="1"/>
  <c r="J43" i="8"/>
  <c r="J74" i="8"/>
  <c r="J42" i="8"/>
  <c r="J99" i="8"/>
  <c r="J100" i="8" s="1"/>
  <c r="J105" i="8" s="1"/>
  <c r="H26" i="12"/>
  <c r="H27" i="12"/>
  <c r="I33" i="12" s="1"/>
  <c r="I34" i="12" s="1"/>
  <c r="J33" i="4"/>
  <c r="J31" i="8"/>
  <c r="J77" i="8"/>
  <c r="J25" i="10"/>
  <c r="J41" i="4"/>
  <c r="J75" i="4"/>
  <c r="J76" i="4" s="1"/>
  <c r="J40" i="4"/>
  <c r="J85" i="4"/>
  <c r="J74" i="4"/>
  <c r="J45" i="4"/>
  <c r="J31" i="4"/>
  <c r="J42" i="4"/>
  <c r="I138" i="6"/>
  <c r="I36" i="12"/>
  <c r="I37" i="12" s="1"/>
  <c r="J30" i="4"/>
  <c r="J32" i="4" s="1"/>
  <c r="J43" i="4"/>
  <c r="J46" i="4" s="1"/>
  <c r="J66" i="4" s="1"/>
  <c r="J72" i="4"/>
  <c r="J89" i="4"/>
  <c r="J76" i="6"/>
  <c r="J42" i="6"/>
  <c r="J30" i="6"/>
  <c r="J73" i="6"/>
  <c r="J44" i="6"/>
  <c r="J84" i="6"/>
  <c r="J43" i="6"/>
  <c r="J29" i="6"/>
  <c r="J31" i="6" s="1"/>
  <c r="J71" i="6"/>
  <c r="J41" i="6"/>
  <c r="J38" i="6"/>
  <c r="J45" i="6" s="1"/>
  <c r="J65" i="6" s="1"/>
  <c r="J85" i="8"/>
  <c r="J141" i="8"/>
  <c r="I86" i="11"/>
  <c r="I87" i="11" s="1"/>
  <c r="I43" i="11"/>
  <c r="I100" i="11"/>
  <c r="I44" i="11"/>
  <c r="I84" i="11"/>
  <c r="I38" i="11"/>
  <c r="J41" i="5"/>
  <c r="J38" i="9"/>
  <c r="J44" i="9"/>
  <c r="I61" i="11"/>
  <c r="I73" i="11" s="1"/>
  <c r="I79" i="11" s="1"/>
  <c r="J42" i="5"/>
  <c r="J75" i="9"/>
  <c r="J76" i="9" s="1"/>
  <c r="J40" i="9"/>
  <c r="J39" i="9"/>
  <c r="J45" i="9"/>
  <c r="J77" i="9"/>
  <c r="J38" i="5"/>
  <c r="J43" i="5"/>
  <c r="J72" i="5"/>
  <c r="J89" i="5"/>
  <c r="J32" i="9"/>
  <c r="J140" i="9"/>
  <c r="I122" i="15" l="1"/>
  <c r="H33" i="14"/>
  <c r="H32" i="14"/>
  <c r="H146" i="14"/>
  <c r="I146" i="14" s="1"/>
  <c r="H146" i="15"/>
  <c r="I146" i="15" s="1"/>
  <c r="H143" i="20"/>
  <c r="I143" i="20" s="1"/>
  <c r="H143" i="19"/>
  <c r="I143" i="19" s="1"/>
  <c r="H143" i="16"/>
  <c r="I143" i="16" s="1"/>
  <c r="I147" i="15"/>
  <c r="I144" i="20"/>
  <c r="I144" i="19"/>
  <c r="I144" i="16"/>
  <c r="I147" i="14"/>
  <c r="I48" i="16"/>
  <c r="I95" i="16"/>
  <c r="I103" i="16" s="1"/>
  <c r="J72" i="6"/>
  <c r="J77" i="6"/>
  <c r="J149" i="6" s="1"/>
  <c r="J81" i="8"/>
  <c r="J32" i="8"/>
  <c r="J73" i="9"/>
  <c r="J78" i="9" s="1"/>
  <c r="J142" i="9" s="1"/>
  <c r="I85" i="11"/>
  <c r="I89" i="11" s="1"/>
  <c r="I152" i="11" s="1"/>
  <c r="J80" i="6"/>
  <c r="J34" i="4"/>
  <c r="J65" i="4" s="1"/>
  <c r="J68" i="4" s="1"/>
  <c r="I97" i="12"/>
  <c r="I101" i="12"/>
  <c r="I45" i="12"/>
  <c r="I93" i="12" s="1"/>
  <c r="I87" i="12"/>
  <c r="I88" i="12" s="1"/>
  <c r="I44" i="12"/>
  <c r="I89" i="12"/>
  <c r="I39" i="12"/>
  <c r="J40" i="7"/>
  <c r="J84" i="7"/>
  <c r="J41" i="7"/>
  <c r="J39" i="7"/>
  <c r="J30" i="7"/>
  <c r="J147" i="7"/>
  <c r="J29" i="7"/>
  <c r="J31" i="7" s="1"/>
  <c r="J38" i="7"/>
  <c r="J43" i="7"/>
  <c r="J76" i="7"/>
  <c r="J37" i="7"/>
  <c r="J74" i="7"/>
  <c r="J75" i="7" s="1"/>
  <c r="J44" i="7"/>
  <c r="J73" i="7"/>
  <c r="J88" i="7"/>
  <c r="J42" i="7"/>
  <c r="J73" i="4"/>
  <c r="J78" i="4" s="1"/>
  <c r="J143" i="4" s="1"/>
  <c r="J81" i="4"/>
  <c r="J86" i="9"/>
  <c r="J90" i="9" s="1"/>
  <c r="J89" i="9"/>
  <c r="J88" i="9"/>
  <c r="J87" i="9"/>
  <c r="J46" i="5"/>
  <c r="J66" i="5" s="1"/>
  <c r="I45" i="11"/>
  <c r="I92" i="11"/>
  <c r="J44" i="10"/>
  <c r="J39" i="10"/>
  <c r="J30" i="10"/>
  <c r="J32" i="10" s="1"/>
  <c r="J74" i="10"/>
  <c r="J42" i="10"/>
  <c r="J85" i="10"/>
  <c r="J72" i="10"/>
  <c r="J41" i="10"/>
  <c r="J140" i="10"/>
  <c r="J40" i="10"/>
  <c r="J31" i="10"/>
  <c r="J38" i="10"/>
  <c r="J77" i="10"/>
  <c r="J75" i="10"/>
  <c r="J76" i="10" s="1"/>
  <c r="J45" i="10"/>
  <c r="J43" i="10"/>
  <c r="J46" i="8"/>
  <c r="J66" i="8" s="1"/>
  <c r="J99" i="5"/>
  <c r="J100" i="5" s="1"/>
  <c r="J105" i="5" s="1"/>
  <c r="J76" i="5"/>
  <c r="J33" i="5"/>
  <c r="J34" i="5" s="1"/>
  <c r="J65" i="5" s="1"/>
  <c r="J92" i="5"/>
  <c r="J93" i="5" s="1"/>
  <c r="J104" i="5" s="1"/>
  <c r="J106" i="5" s="1"/>
  <c r="J73" i="5"/>
  <c r="J78" i="5" s="1"/>
  <c r="J143" i="5" s="1"/>
  <c r="I150" i="11"/>
  <c r="J33" i="6"/>
  <c r="J64" i="6" s="1"/>
  <c r="J67" i="6" s="1"/>
  <c r="J32" i="6"/>
  <c r="J72" i="8"/>
  <c r="J46" i="9"/>
  <c r="J66" i="9" s="1"/>
  <c r="J33" i="9"/>
  <c r="J34" i="9" s="1"/>
  <c r="J65" i="9" s="1"/>
  <c r="J68" i="9" s="1"/>
  <c r="I113" i="16" l="1"/>
  <c r="H113" i="16" s="1"/>
  <c r="I60" i="16"/>
  <c r="I61" i="16"/>
  <c r="I121" i="16"/>
  <c r="I122" i="16" s="1"/>
  <c r="I147" i="19"/>
  <c r="I147" i="20"/>
  <c r="I48" i="14"/>
  <c r="I150" i="14"/>
  <c r="I183" i="14" s="1"/>
  <c r="I147" i="16"/>
  <c r="I180" i="16" s="1"/>
  <c r="I150" i="15"/>
  <c r="I183" i="15" s="1"/>
  <c r="B118" i="16"/>
  <c r="I53" i="16"/>
  <c r="B118" i="15"/>
  <c r="I102" i="12"/>
  <c r="I99" i="12"/>
  <c r="I98" i="12"/>
  <c r="I100" i="12"/>
  <c r="J144" i="5"/>
  <c r="J110" i="5"/>
  <c r="J114" i="5" s="1"/>
  <c r="J145" i="5" s="1"/>
  <c r="J141" i="9"/>
  <c r="J33" i="10"/>
  <c r="J34" i="10" s="1"/>
  <c r="J65" i="10" s="1"/>
  <c r="J68" i="10" s="1"/>
  <c r="J45" i="7"/>
  <c r="J65" i="7" s="1"/>
  <c r="J90" i="8"/>
  <c r="J88" i="8"/>
  <c r="J87" i="8"/>
  <c r="J86" i="8"/>
  <c r="J91" i="8" s="1"/>
  <c r="J92" i="9"/>
  <c r="J103" i="9" s="1"/>
  <c r="J105" i="9" s="1"/>
  <c r="J143" i="9" s="1"/>
  <c r="J91" i="9"/>
  <c r="I85" i="12"/>
  <c r="J32" i="7"/>
  <c r="J33" i="7" s="1"/>
  <c r="J64" i="7" s="1"/>
  <c r="J67" i="7" s="1"/>
  <c r="J148" i="6"/>
  <c r="J46" i="10"/>
  <c r="J66" i="10" s="1"/>
  <c r="J73" i="10"/>
  <c r="J78" i="10" s="1"/>
  <c r="J142" i="10" s="1"/>
  <c r="I46" i="12"/>
  <c r="I103" i="12"/>
  <c r="I77" i="11"/>
  <c r="I50" i="11"/>
  <c r="I49" i="11"/>
  <c r="I56" i="11"/>
  <c r="I53" i="11"/>
  <c r="I51" i="11"/>
  <c r="I52" i="11"/>
  <c r="I54" i="11"/>
  <c r="I55" i="11"/>
  <c r="J80" i="7"/>
  <c r="J68" i="5"/>
  <c r="J81" i="10"/>
  <c r="J142" i="4"/>
  <c r="J34" i="8"/>
  <c r="J65" i="8" s="1"/>
  <c r="J68" i="8" s="1"/>
  <c r="J33" i="8"/>
  <c r="J87" i="4"/>
  <c r="J86" i="4"/>
  <c r="J88" i="4"/>
  <c r="J90" i="4"/>
  <c r="J73" i="8"/>
  <c r="J78" i="8" s="1"/>
  <c r="J143" i="8" s="1"/>
  <c r="I97" i="11"/>
  <c r="I101" i="11"/>
  <c r="I99" i="11"/>
  <c r="I98" i="11"/>
  <c r="J71" i="7"/>
  <c r="I151" i="12"/>
  <c r="J87" i="6"/>
  <c r="J85" i="6"/>
  <c r="J90" i="6" s="1"/>
  <c r="J89" i="6"/>
  <c r="J86" i="6"/>
  <c r="I180" i="19" l="1"/>
  <c r="I181" i="19" s="1"/>
  <c r="I153" i="19"/>
  <c r="I154" i="19" s="1"/>
  <c r="I155" i="19" s="1"/>
  <c r="I156" i="19" s="1"/>
  <c r="I157" i="19" s="1"/>
  <c r="I61" i="14"/>
  <c r="I121" i="14"/>
  <c r="I122" i="14" s="1"/>
  <c r="I60" i="14"/>
  <c r="I113" i="14"/>
  <c r="H113" i="14" s="1"/>
  <c r="I180" i="20"/>
  <c r="I53" i="14"/>
  <c r="B118" i="14"/>
  <c r="I62" i="15"/>
  <c r="I176" i="16"/>
  <c r="I62" i="16"/>
  <c r="I179" i="15"/>
  <c r="J148" i="7"/>
  <c r="J141" i="10"/>
  <c r="J93" i="8"/>
  <c r="J104" i="8" s="1"/>
  <c r="J106" i="8" s="1"/>
  <c r="J92" i="8"/>
  <c r="J91" i="4"/>
  <c r="I105" i="12"/>
  <c r="I116" i="12" s="1"/>
  <c r="I118" i="12" s="1"/>
  <c r="I104" i="12"/>
  <c r="J119" i="9"/>
  <c r="J120" i="9" s="1"/>
  <c r="J92" i="6"/>
  <c r="J106" i="6" s="1"/>
  <c r="J108" i="6" s="1"/>
  <c r="J91" i="6"/>
  <c r="J86" i="7"/>
  <c r="J89" i="7"/>
  <c r="J87" i="7"/>
  <c r="J85" i="7"/>
  <c r="I78" i="12"/>
  <c r="I56" i="12"/>
  <c r="I53" i="12"/>
  <c r="I51" i="12"/>
  <c r="I52" i="12"/>
  <c r="I55" i="12"/>
  <c r="I54" i="12"/>
  <c r="I50" i="12"/>
  <c r="I57" i="12"/>
  <c r="I86" i="12"/>
  <c r="I90" i="12"/>
  <c r="I153" i="12" s="1"/>
  <c r="J121" i="9"/>
  <c r="J142" i="5"/>
  <c r="J146" i="5" s="1"/>
  <c r="J118" i="5"/>
  <c r="J119" i="5" s="1"/>
  <c r="I102" i="11"/>
  <c r="J117" i="9"/>
  <c r="J118" i="9" s="1"/>
  <c r="J142" i="8"/>
  <c r="J72" i="7"/>
  <c r="J77" i="7" s="1"/>
  <c r="J86" i="10"/>
  <c r="J87" i="10"/>
  <c r="J89" i="10"/>
  <c r="J88" i="10"/>
  <c r="I57" i="11"/>
  <c r="I78" i="11" s="1"/>
  <c r="I80" i="11" s="1"/>
  <c r="J145" i="9"/>
  <c r="I111" i="16" l="1"/>
  <c r="I112" i="16" s="1"/>
  <c r="I75" i="16"/>
  <c r="I72" i="16"/>
  <c r="I68" i="16"/>
  <c r="I110" i="16"/>
  <c r="I108" i="16"/>
  <c r="I109" i="16" s="1"/>
  <c r="I71" i="16"/>
  <c r="I73" i="16"/>
  <c r="I69" i="16"/>
  <c r="I74" i="16"/>
  <c r="I70" i="16"/>
  <c r="I72" i="15"/>
  <c r="I108" i="15"/>
  <c r="I70" i="15"/>
  <c r="I73" i="15"/>
  <c r="I68" i="15"/>
  <c r="I74" i="15"/>
  <c r="I75" i="15"/>
  <c r="I111" i="15"/>
  <c r="I112" i="15" s="1"/>
  <c r="I110" i="15"/>
  <c r="I71" i="15"/>
  <c r="I69" i="15"/>
  <c r="I160" i="19"/>
  <c r="I164" i="19"/>
  <c r="I161" i="19"/>
  <c r="I101" i="15"/>
  <c r="I179" i="14"/>
  <c r="H122" i="15"/>
  <c r="H122" i="16"/>
  <c r="I62" i="14"/>
  <c r="I101" i="16"/>
  <c r="I151" i="11"/>
  <c r="J149" i="7"/>
  <c r="J112" i="6"/>
  <c r="J116" i="6" s="1"/>
  <c r="J151" i="6" s="1"/>
  <c r="J150" i="6"/>
  <c r="J152" i="6" s="1"/>
  <c r="J122" i="6"/>
  <c r="J123" i="6" s="1"/>
  <c r="J124" i="6"/>
  <c r="J125" i="6" s="1"/>
  <c r="J126" i="6"/>
  <c r="I58" i="12"/>
  <c r="I79" i="12" s="1"/>
  <c r="J92" i="4"/>
  <c r="J93" i="4" s="1"/>
  <c r="J104" i="4" s="1"/>
  <c r="J106" i="4" s="1"/>
  <c r="I81" i="12"/>
  <c r="J124" i="9"/>
  <c r="J130" i="9"/>
  <c r="J125" i="9"/>
  <c r="J90" i="7"/>
  <c r="J90" i="10"/>
  <c r="I104" i="11"/>
  <c r="I115" i="11" s="1"/>
  <c r="I117" i="11" s="1"/>
  <c r="I103" i="11"/>
  <c r="I122" i="12"/>
  <c r="I124" i="12" s="1"/>
  <c r="I155" i="12" s="1"/>
  <c r="I154" i="12"/>
  <c r="J120" i="5"/>
  <c r="J121" i="5" s="1"/>
  <c r="J144" i="8"/>
  <c r="J110" i="8"/>
  <c r="J114" i="8" s="1"/>
  <c r="J131" i="9"/>
  <c r="J146" i="9" s="1"/>
  <c r="J147" i="9" s="1"/>
  <c r="G149" i="9" s="1"/>
  <c r="J122" i="5"/>
  <c r="I109" i="15" l="1"/>
  <c r="I114" i="15" s="1"/>
  <c r="I110" i="14"/>
  <c r="I75" i="14"/>
  <c r="I70" i="14"/>
  <c r="I69" i="14"/>
  <c r="I72" i="14"/>
  <c r="I73" i="14"/>
  <c r="I74" i="14"/>
  <c r="I111" i="14"/>
  <c r="I112" i="14" s="1"/>
  <c r="I108" i="14"/>
  <c r="I68" i="14"/>
  <c r="I71" i="14"/>
  <c r="H122" i="14"/>
  <c r="H112" i="16"/>
  <c r="H111" i="16"/>
  <c r="H108" i="16"/>
  <c r="H108" i="15"/>
  <c r="H111" i="15"/>
  <c r="H112" i="15"/>
  <c r="I165" i="19"/>
  <c r="I182" i="19" s="1"/>
  <c r="I183" i="19" s="1"/>
  <c r="I188" i="19" s="1"/>
  <c r="F5" i="13" s="1"/>
  <c r="G5" i="13" s="1"/>
  <c r="I167" i="19"/>
  <c r="I101" i="14"/>
  <c r="I76" i="15"/>
  <c r="I102" i="15" s="1"/>
  <c r="I76" i="16"/>
  <c r="I102" i="16" s="1"/>
  <c r="I104" i="16" s="1"/>
  <c r="H109" i="16"/>
  <c r="J110" i="4"/>
  <c r="J114" i="4" s="1"/>
  <c r="J145" i="4" s="1"/>
  <c r="J144" i="4"/>
  <c r="J118" i="4"/>
  <c r="J119" i="4" s="1"/>
  <c r="J131" i="5"/>
  <c r="J126" i="5"/>
  <c r="J125" i="5"/>
  <c r="J92" i="7"/>
  <c r="J106" i="7" s="1"/>
  <c r="J108" i="7" s="1"/>
  <c r="J91" i="7"/>
  <c r="J135" i="6"/>
  <c r="J129" i="6"/>
  <c r="J130" i="6"/>
  <c r="J91" i="10"/>
  <c r="J92" i="10" s="1"/>
  <c r="J103" i="10" s="1"/>
  <c r="J105" i="10" s="1"/>
  <c r="J133" i="9"/>
  <c r="I153" i="11"/>
  <c r="I121" i="11"/>
  <c r="I123" i="11" s="1"/>
  <c r="I154" i="11" s="1"/>
  <c r="J145" i="8"/>
  <c r="J146" i="8" s="1"/>
  <c r="J120" i="8"/>
  <c r="J121" i="8" s="1"/>
  <c r="I152" i="12"/>
  <c r="I156" i="12" s="1"/>
  <c r="I128" i="12"/>
  <c r="I129" i="12" s="1"/>
  <c r="J118" i="8"/>
  <c r="J119" i="8" s="1"/>
  <c r="I155" i="11"/>
  <c r="H109" i="15" l="1"/>
  <c r="I109" i="14"/>
  <c r="H109" i="14" s="1"/>
  <c r="H108" i="14"/>
  <c r="H112" i="14"/>
  <c r="H111" i="14"/>
  <c r="I185" i="19"/>
  <c r="G190" i="19"/>
  <c r="G194" i="19" s="1"/>
  <c r="I76" i="14"/>
  <c r="I102" i="14" s="1"/>
  <c r="I104" i="14" s="1"/>
  <c r="I114" i="16"/>
  <c r="I178" i="16" s="1"/>
  <c r="E118" i="16"/>
  <c r="I177" i="16"/>
  <c r="J143" i="10"/>
  <c r="J145" i="10" s="1"/>
  <c r="J117" i="10"/>
  <c r="J118" i="10" s="1"/>
  <c r="J138" i="6"/>
  <c r="J136" i="6"/>
  <c r="J153" i="6" s="1"/>
  <c r="J154" i="6" s="1"/>
  <c r="G156" i="6" s="1"/>
  <c r="J122" i="8"/>
  <c r="J134" i="5"/>
  <c r="J132" i="5"/>
  <c r="J147" i="5" s="1"/>
  <c r="J148" i="5" s="1"/>
  <c r="J146" i="4"/>
  <c r="J112" i="7"/>
  <c r="J116" i="7" s="1"/>
  <c r="J151" i="7" s="1"/>
  <c r="J152" i="7" s="1"/>
  <c r="J150" i="7"/>
  <c r="J122" i="7"/>
  <c r="J123" i="7" s="1"/>
  <c r="I127" i="11"/>
  <c r="I128" i="11" s="1"/>
  <c r="I130" i="12"/>
  <c r="I131" i="12" s="1"/>
  <c r="J120" i="4"/>
  <c r="J121" i="4" s="1"/>
  <c r="J122" i="4" s="1"/>
  <c r="I114" i="14" l="1"/>
  <c r="I180" i="14"/>
  <c r="E118" i="14"/>
  <c r="H118" i="16"/>
  <c r="I118" i="16" s="1"/>
  <c r="J131" i="4"/>
  <c r="J126" i="4"/>
  <c r="J125" i="4"/>
  <c r="J134" i="4" s="1"/>
  <c r="J132" i="4"/>
  <c r="J147" i="4" s="1"/>
  <c r="J148" i="4" s="1"/>
  <c r="G150" i="4" s="1"/>
  <c r="I129" i="11"/>
  <c r="I130" i="11" s="1"/>
  <c r="J126" i="8"/>
  <c r="J131" i="8"/>
  <c r="J125" i="8"/>
  <c r="I132" i="12"/>
  <c r="J119" i="10"/>
  <c r="J120" i="10" s="1"/>
  <c r="J121" i="10" s="1"/>
  <c r="J124" i="7"/>
  <c r="J125" i="7" s="1"/>
  <c r="J126" i="7" s="1"/>
  <c r="I127" i="16" l="1"/>
  <c r="I126" i="16"/>
  <c r="I125" i="16"/>
  <c r="I123" i="16"/>
  <c r="I124" i="16"/>
  <c r="I131" i="11"/>
  <c r="J134" i="8"/>
  <c r="J132" i="8"/>
  <c r="J147" i="8" s="1"/>
  <c r="J148" i="8" s="1"/>
  <c r="G150" i="8" s="1"/>
  <c r="I141" i="12"/>
  <c r="I136" i="12"/>
  <c r="I135" i="12"/>
  <c r="J125" i="10"/>
  <c r="J124" i="10"/>
  <c r="J130" i="10"/>
  <c r="J130" i="7"/>
  <c r="J129" i="7"/>
  <c r="J135" i="7"/>
  <c r="J136" i="7"/>
  <c r="J153" i="7" s="1"/>
  <c r="J154" i="7" s="1"/>
  <c r="G156" i="7" s="1"/>
  <c r="J138" i="7" l="1"/>
  <c r="I144" i="12"/>
  <c r="I142" i="12"/>
  <c r="I157" i="12" s="1"/>
  <c r="I158" i="12" s="1"/>
  <c r="E164" i="12" s="1"/>
  <c r="H164" i="12" s="1"/>
  <c r="H166" i="12" s="1"/>
  <c r="G168" i="12" s="1"/>
  <c r="J133" i="10"/>
  <c r="J131" i="10"/>
  <c r="J146" i="10" s="1"/>
  <c r="J147" i="10" s="1"/>
  <c r="I134" i="11"/>
  <c r="I140" i="11"/>
  <c r="I135" i="11"/>
  <c r="I143" i="11" l="1"/>
  <c r="I141" i="11"/>
  <c r="I156" i="11" s="1"/>
  <c r="I157" i="11" s="1"/>
  <c r="E163" i="11" s="1"/>
  <c r="H163" i="11" s="1"/>
  <c r="H165" i="11" s="1"/>
  <c r="G167" i="11" s="1"/>
  <c r="I181" i="15" l="1"/>
  <c r="H118" i="15"/>
  <c r="I128" i="16" l="1"/>
  <c r="I137" i="16" s="1"/>
  <c r="I139" i="16" s="1"/>
  <c r="I153" i="16" l="1"/>
  <c r="I154" i="16" s="1"/>
  <c r="I179" i="16"/>
  <c r="I181" i="16" s="1"/>
  <c r="I155" i="16" l="1"/>
  <c r="I156" i="16" s="1"/>
  <c r="I157" i="16" l="1"/>
  <c r="I164" i="16" l="1"/>
  <c r="I160" i="16"/>
  <c r="I161" i="16"/>
  <c r="I167" i="16" l="1"/>
  <c r="I165" i="16"/>
  <c r="I182" i="16" s="1"/>
  <c r="I183" i="16" s="1"/>
  <c r="I188" i="16" l="1"/>
  <c r="I185" i="16"/>
  <c r="I181" i="14"/>
  <c r="H118" i="14"/>
  <c r="I118" i="14" s="1"/>
  <c r="G190" i="16" l="1"/>
  <c r="G194" i="16" s="1"/>
  <c r="F4" i="13"/>
  <c r="G4" i="13" s="1"/>
  <c r="I124" i="14"/>
  <c r="I123" i="14"/>
  <c r="I127" i="14"/>
  <c r="I126" i="14"/>
  <c r="I125" i="14"/>
  <c r="I128" i="14" l="1"/>
  <c r="I140" i="14" s="1"/>
  <c r="I142" i="14" s="1"/>
  <c r="I182" i="14" s="1"/>
  <c r="I184" i="14" s="1"/>
  <c r="I156" i="14" l="1"/>
  <c r="I157" i="14" s="1"/>
  <c r="I158" i="14" s="1"/>
  <c r="I159" i="14" s="1"/>
  <c r="I160" i="14" s="1"/>
  <c r="I167" i="14" l="1"/>
  <c r="I163" i="14"/>
  <c r="I164" i="14"/>
  <c r="I170" i="14" l="1"/>
  <c r="I168" i="14"/>
  <c r="I185" i="14" s="1"/>
  <c r="I186" i="14" s="1"/>
  <c r="I95" i="15"/>
  <c r="I103" i="15" s="1"/>
  <c r="I104" i="15" s="1"/>
  <c r="I188" i="14" l="1"/>
  <c r="I191" i="14"/>
  <c r="I180" i="15"/>
  <c r="E118" i="15"/>
  <c r="I118" i="15" s="1"/>
  <c r="F8" i="13" l="1"/>
  <c r="G8" i="13" s="1"/>
  <c r="G193" i="14"/>
  <c r="G197" i="14" s="1"/>
  <c r="I123" i="15"/>
  <c r="I126" i="15"/>
  <c r="I124" i="15"/>
  <c r="I125" i="15"/>
  <c r="I127" i="15"/>
  <c r="I128" i="15" l="1"/>
  <c r="I140" i="15" s="1"/>
  <c r="I142" i="15" s="1"/>
  <c r="I156" i="15" s="1"/>
  <c r="I182" i="15" l="1"/>
  <c r="I184" i="15" s="1"/>
  <c r="I157" i="15"/>
  <c r="I158" i="15" s="1"/>
  <c r="I159" i="15" s="1"/>
  <c r="I160" i="15" s="1"/>
  <c r="I164" i="15" l="1"/>
  <c r="I167" i="15"/>
  <c r="I163" i="15"/>
  <c r="I170" i="15" l="1"/>
  <c r="I168" i="15"/>
  <c r="I185" i="15" s="1"/>
  <c r="I186" i="15" s="1"/>
  <c r="I191" i="15" s="1"/>
  <c r="F7" i="13" s="1"/>
  <c r="I188" i="15" l="1"/>
  <c r="G193" i="15"/>
  <c r="G197" i="15" s="1"/>
  <c r="G7" i="13"/>
  <c r="I95" i="20"/>
  <c r="I103" i="20" s="1"/>
  <c r="I104" i="20" s="1"/>
  <c r="E118" i="20" l="1"/>
  <c r="I118" i="20" s="1"/>
  <c r="I177" i="20"/>
  <c r="I126" i="20" l="1"/>
  <c r="I123" i="20"/>
  <c r="I127" i="20"/>
  <c r="I124" i="20"/>
  <c r="I125" i="20"/>
  <c r="I128" i="20" l="1"/>
  <c r="I137" i="20" s="1"/>
  <c r="I139" i="20" s="1"/>
  <c r="I179" i="20" s="1"/>
  <c r="I181" i="20" s="1"/>
  <c r="I153" i="20" l="1"/>
  <c r="I154" i="20" s="1"/>
  <c r="I155" i="20" s="1"/>
  <c r="I156" i="20" s="1"/>
  <c r="I157" i="20" s="1"/>
  <c r="I161" i="20" l="1"/>
  <c r="I160" i="20"/>
  <c r="I164" i="20"/>
  <c r="I167" i="20" l="1"/>
  <c r="I165" i="20"/>
  <c r="I182" i="20" s="1"/>
  <c r="I183" i="20" s="1"/>
  <c r="I188" i="20" l="1"/>
  <c r="I185" i="20"/>
  <c r="G190" i="20" l="1"/>
  <c r="G194" i="20" s="1"/>
  <c r="F6" i="13"/>
  <c r="G6" i="13" l="1"/>
  <c r="G9" i="13" s="1"/>
  <c r="F9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Antonio Cardoso da Rocha Filho</author>
  </authors>
  <commentList>
    <comment ref="I28" authorId="0" shapeId="0" xr:uid="{0A55DD44-2180-45DC-97AA-214DCAE11F7E}">
      <text>
        <r>
          <rPr>
            <b/>
            <sz val="9"/>
            <color indexed="81"/>
            <rFont val="Segoe UI"/>
            <family val="2"/>
          </rPr>
          <t>Pode variar entre 1%, 2% ou 3%</t>
        </r>
      </text>
    </comment>
    <comment ref="I29" authorId="0" shapeId="0" xr:uid="{675FAA7E-E282-442B-B52F-9CEA8F1F5352}">
      <text>
        <r>
          <rPr>
            <b/>
            <sz val="9"/>
            <color indexed="81"/>
            <rFont val="Segoe UI"/>
            <family val="2"/>
          </rPr>
          <t>É um número multiplicador que pode variar de 0,5000 a 2,0000</t>
        </r>
      </text>
    </comment>
    <comment ref="H41" authorId="0" shapeId="0" xr:uid="{189E1089-BA81-4A41-A71D-15C497122E5F}">
      <text>
        <r>
          <rPr>
            <b/>
            <sz val="9"/>
            <color indexed="81"/>
            <rFont val="Segoe UI"/>
            <family val="2"/>
          </rPr>
          <t>Informar o desconto, quando for em porcentagem!</t>
        </r>
      </text>
    </comment>
    <comment ref="I41" authorId="0" shapeId="0" xr:uid="{12FD57B3-87E3-4766-A9F4-601FEF32E65F}">
      <text>
        <r>
          <rPr>
            <b/>
            <sz val="9"/>
            <color indexed="81"/>
            <rFont val="Segoe UI"/>
            <family val="2"/>
          </rPr>
          <t>Informar o desconto, quando for em valor!</t>
        </r>
      </text>
    </comment>
    <comment ref="H42" authorId="0" shapeId="0" xr:uid="{EF4854DD-7B5D-4732-910A-1D1FB7F50ADD}">
      <text>
        <r>
          <rPr>
            <b/>
            <sz val="9"/>
            <color indexed="81"/>
            <rFont val="Segoe UI"/>
            <family val="2"/>
          </rPr>
          <t>Informar a porcentagem a ser paga pelo empregador!</t>
        </r>
      </text>
    </comment>
    <comment ref="I42" authorId="0" shapeId="0" xr:uid="{4C30D8E0-D8DE-4C62-ABE9-11560F41385A}">
      <text>
        <r>
          <rPr>
            <b/>
            <sz val="9"/>
            <color indexed="81"/>
            <rFont val="Segoe UI"/>
            <family val="2"/>
          </rPr>
          <t xml:space="preserve">Informe o custo mensal do plano de saúde, se obrigatório! </t>
        </r>
      </text>
    </comment>
    <comment ref="H43" authorId="0" shapeId="0" xr:uid="{36C5EF4E-ABF1-4AE1-93F6-D8F2A5D8ABC0}">
      <text>
        <r>
          <rPr>
            <b/>
            <sz val="9"/>
            <color indexed="81"/>
            <rFont val="Segoe UI"/>
            <family val="2"/>
          </rPr>
          <t>Informar a porcentagem a ser paga pelo empregador!</t>
        </r>
      </text>
    </comment>
    <comment ref="I43" authorId="0" shapeId="0" xr:uid="{ACCBBBA0-AC56-4C79-B090-4FABE77721F0}">
      <text>
        <r>
          <rPr>
            <b/>
            <sz val="9"/>
            <color indexed="81"/>
            <rFont val="Segoe UI"/>
            <family val="2"/>
          </rPr>
          <t>Informe o custo mensal do seguro de vida!</t>
        </r>
      </text>
    </comment>
    <comment ref="H44" authorId="0" shapeId="0" xr:uid="{FF45E1C2-F46A-4704-A2E2-10F55752DAD7}">
      <text>
        <r>
          <rPr>
            <b/>
            <sz val="9"/>
            <color indexed="81"/>
            <rFont val="Segoe UI"/>
            <family val="2"/>
          </rPr>
          <t>Informar a porcentagem a ser paga pelo empregador!</t>
        </r>
      </text>
    </comment>
    <comment ref="I44" authorId="0" shapeId="0" xr:uid="{EDAFF788-CFD4-4CD1-A84E-43AD3086D257}">
      <text>
        <r>
          <rPr>
            <b/>
            <sz val="9"/>
            <color indexed="81"/>
            <rFont val="Segoe UI"/>
            <family val="2"/>
          </rPr>
          <t>Informe o custo mensal do auxílio funeral, se obrigatório!</t>
        </r>
      </text>
    </comment>
    <comment ref="H45" authorId="0" shapeId="0" xr:uid="{FBDC455A-48B8-4470-8741-19225F672E3B}">
      <text>
        <r>
          <rPr>
            <b/>
            <sz val="9"/>
            <color indexed="81"/>
            <rFont val="Segoe UI"/>
            <family val="2"/>
          </rPr>
          <t>Informar a porcentagem a ser paga pelo empregador!</t>
        </r>
      </text>
    </comment>
    <comment ref="I45" authorId="0" shapeId="0" xr:uid="{3C3BF2A6-BDFC-48CB-9C2E-0D96E72B1C2F}">
      <text>
        <r>
          <rPr>
            <b/>
            <sz val="9"/>
            <color indexed="81"/>
            <rFont val="Segoe UI"/>
            <family val="2"/>
          </rPr>
          <t>Informe o custo mensal do auxílio creche, se obrigatório!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J53" authorId="0" shapeId="0" xr:uid="{00000000-0006-0000-0500-000001000000}">
      <text>
        <r>
          <rPr>
            <sz val="10"/>
            <rFont val="Arial"/>
            <family val="2"/>
          </rPr>
          <t>Desconto de 0,10(Dez centavos)</t>
        </r>
      </text>
    </comment>
    <comment ref="J56" authorId="0" shapeId="0" xr:uid="{00000000-0006-0000-0500-000002000000}">
      <text>
        <r>
          <rPr>
            <sz val="10"/>
            <rFont val="Arial"/>
            <family val="2"/>
          </rPr>
          <t xml:space="preserve">Caso cote deve apresentar documento que comprove o recebimento do beneficío pelo funcionário
</t>
        </r>
      </text>
    </comment>
    <comment ref="J57" authorId="0" shapeId="0" xr:uid="{00000000-0006-0000-0500-000003000000}">
      <text>
        <r>
          <rPr>
            <sz val="10"/>
            <rFont val="Arial"/>
            <family val="2"/>
          </rPr>
          <t>Cotar este valor se for conceder ao funcionário o benefício, caso não haja ocorrência do fato gerador o valor pago a empresa será glosado da NF ou devolvido ao final.</t>
        </r>
      </text>
    </comment>
    <comment ref="J59" authorId="0" shapeId="0" xr:uid="{00000000-0006-0000-0500-000004000000}">
      <text>
        <r>
          <rPr>
            <sz val="10"/>
            <rFont val="Arial"/>
            <family val="2"/>
          </rPr>
          <t xml:space="preserve">Caso Cote deve apresentar apólice em nome dos funcionários que estejam a serviço do contrato.
</t>
        </r>
      </text>
    </comment>
  </commentList>
</comments>
</file>

<file path=xl/sharedStrings.xml><?xml version="1.0" encoding="utf-8"?>
<sst xmlns="http://schemas.openxmlformats.org/spreadsheetml/2006/main" count="3611" uniqueCount="460">
  <si>
    <t>MÓDULO 5  – INSUMOS DE MÃO DE OBRA</t>
  </si>
  <si>
    <t xml:space="preserve">UNIFORME 1 COMPLETO </t>
  </si>
  <si>
    <t>Descrição</t>
  </si>
  <si>
    <t>Quantidade</t>
  </si>
  <si>
    <t>Valor unitário</t>
  </si>
  <si>
    <t>Valor</t>
  </si>
  <si>
    <t>Vida útil (meses)</t>
  </si>
  <si>
    <t>Valor Rateado</t>
  </si>
  <si>
    <t>Calça em microfibra</t>
  </si>
  <si>
    <t>Camisa de tecido de algodão</t>
  </si>
  <si>
    <t>Cinto com coldre e baleiro</t>
  </si>
  <si>
    <t>Quepe com emblema</t>
  </si>
  <si>
    <t>Distintivo tipo broche</t>
  </si>
  <si>
    <t>Par de sapatos tipo coturno</t>
  </si>
  <si>
    <t>Apito com cordão</t>
  </si>
  <si>
    <t>Crachá</t>
  </si>
  <si>
    <t>Par de meia</t>
  </si>
  <si>
    <t>CUSTO TOTAL MENSAL</t>
  </si>
  <si>
    <t>MATERIAIS A SEREM DISPONIBILIZADOS</t>
  </si>
  <si>
    <t>Valor total</t>
  </si>
  <si>
    <t>Revólver calibre 38</t>
  </si>
  <si>
    <t>Munição para revolver</t>
  </si>
  <si>
    <t>Colete balístico</t>
  </si>
  <si>
    <t>Livro de ocorrências</t>
  </si>
  <si>
    <t>Tonfa de borracha</t>
  </si>
  <si>
    <t>Porta tonfa</t>
  </si>
  <si>
    <t>Bastão de ronda eletrônico</t>
  </si>
  <si>
    <t>Rádio Transceptor portátil</t>
  </si>
  <si>
    <t>Lanterna pilhas</t>
  </si>
  <si>
    <t>Pilhas para lanterna</t>
  </si>
  <si>
    <t>PLANILHA DE CUSTOS E FORMAÇÃO DE PREÇOS</t>
  </si>
  <si>
    <t xml:space="preserve">Nº do processo: </t>
  </si>
  <si>
    <t xml:space="preserve">Licitação nº: 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</si>
  <si>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</si>
  <si>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</si>
  <si>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</si>
  <si>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</si>
  <si>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</si>
  <si>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</si>
  <si>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</si>
  <si>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</si>
  <si>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</si>
  <si>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</si>
  <si>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Tipo de Serviço:</t>
  </si>
  <si>
    <t>Unidade
de
Medida</t>
  </si>
  <si>
    <t>Quantidade total a contratar</t>
  </si>
  <si>
    <r>
      <rPr>
        <b/>
        <sz val="15"/>
        <color rgb="FF000000"/>
        <rFont val="Arial"/>
        <family val="2"/>
        <charset val="1"/>
      </rPr>
      <t xml:space="preserve">1. MÓDULOS
</t>
    </r>
    <r>
      <rPr>
        <b/>
        <sz val="12"/>
        <color rgb="FF000000"/>
        <rFont val="Arial"/>
        <family val="2"/>
        <charset val="1"/>
      </rPr>
      <t xml:space="preserve">Mão de obra
</t>
    </r>
    <r>
      <rPr>
        <b/>
        <sz val="11"/>
        <color rgb="FF000000"/>
        <rFont val="Arial"/>
        <family val="2"/>
        <charset val="1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</si>
  <si>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</si>
  <si>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</si>
  <si>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</si>
  <si>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t>Salário Normativo da Categoria Profissional</t>
  </si>
  <si>
    <t>Categoria Profissional (vinculada à execução contratual)</t>
  </si>
  <si>
    <t>Data-Base da Categoria (dia/mês/ano)</t>
  </si>
  <si>
    <t>Salário + Adicional de Periculosidade</t>
  </si>
  <si>
    <t>Valor do salário x hora (c/ peri.) = (valor salário + adicional)/220</t>
  </si>
  <si>
    <t>Valor da hora extra com 100% (c/ peri.) = valor da hora + 100%</t>
  </si>
  <si>
    <t>(Salário + Adicional de Periculosidade + Adicional Noturno)/220</t>
  </si>
  <si>
    <t>Valor da hora do adicional noturno (c/ peri.) = valor hora x 20%</t>
  </si>
  <si>
    <t>Hora do salário c/ periculosidade + hora do adicional noturno</t>
  </si>
  <si>
    <t>Valor da hora extra noturna com 100% = valor da hora noturna + 100%</t>
  </si>
  <si>
    <t>Adicional Noturno</t>
  </si>
  <si>
    <t>Hora Noturna Reduzida</t>
  </si>
  <si>
    <t>Intrajornada</t>
  </si>
  <si>
    <t>Quantidade de vigilantes por posto de serviço</t>
  </si>
  <si>
    <t>Módulo 1: Composição da Remuneração</t>
  </si>
  <si>
    <t>Composição da Remuneração</t>
  </si>
  <si>
    <t>Percentual
(%)</t>
  </si>
  <si>
    <t>Valor
(R$)</t>
  </si>
  <si>
    <t>Salário-Base (Valor para 1 vigilante = 1 posto)</t>
  </si>
  <si>
    <t>Adicional de Periculosidade (Valor para 1 vigilante = 1 posto)</t>
  </si>
  <si>
    <t>Adicional Noturno (Valor para 1 Vigilantes = 1 posto)</t>
  </si>
  <si>
    <t>0.00</t>
  </si>
  <si>
    <t>Adicional de Hora Noturna Reduzida (Valor para 1 Vigilante = 1 posto)</t>
  </si>
  <si>
    <t>E</t>
  </si>
  <si>
    <t xml:space="preserve">Outros (especificar)                                          </t>
  </si>
  <si>
    <t>Total</t>
  </si>
  <si>
    <t>F</t>
  </si>
  <si>
    <t>Intervalo Intrajornada (Adicional de Intervalo)  Valor para 1 Vigilante = 1 posto</t>
  </si>
  <si>
    <t>Total da Remuneração de verbas de natureza indenizatória, nas quais não incidem INSS, FGTS, Férias, 13º, etc. - Valor entra nos seguintes cálculos: Item 2, "A" - Quadro-Resumo do Custo por Posto de Trabalho, Custos Indiretos, Lucro e Tributos.</t>
  </si>
  <si>
    <t>Total da Remuneração por posto</t>
  </si>
  <si>
    <t>Módulo 2 – Encargos e Benefícios Anuais, Mensais e Diários</t>
  </si>
  <si>
    <t>Submódulo 2.1 – 13º (décimo terceiro) Salário e Adicional de Férias</t>
  </si>
  <si>
    <t>2.1</t>
  </si>
  <si>
    <r>
      <rPr>
        <b/>
        <sz val="10"/>
        <color rgb="FF000000"/>
        <rFont val="Arial"/>
        <family val="2"/>
        <charset val="1"/>
      </rPr>
      <t>13º (décimo terceiro) Salário</t>
    </r>
    <r>
      <rPr>
        <b/>
        <sz val="10"/>
        <rFont val="Arial"/>
        <family val="2"/>
        <charset val="1"/>
      </rPr>
      <t xml:space="preserve"> e</t>
    </r>
    <r>
      <rPr>
        <b/>
        <sz val="10"/>
        <color rgb="FF000000"/>
        <rFont val="Arial"/>
        <family val="2"/>
        <charset val="1"/>
      </rPr>
      <t xml:space="preserve"> Adicional de Férias</t>
    </r>
  </si>
  <si>
    <t>Percentual (%)</t>
  </si>
  <si>
    <t>Valor (R$)</t>
  </si>
  <si>
    <t>13º (décimo terceiro) Salário</t>
  </si>
  <si>
    <t>Adicional de Férias</t>
  </si>
  <si>
    <r>
      <rPr>
        <b/>
        <sz val="11"/>
        <color rgb="FF000000"/>
        <rFont val="Arial"/>
        <family val="2"/>
        <charset val="1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  <family val="2"/>
        <charset val="1"/>
      </rPr>
      <t>(Base de cálculo: Módulo 1 + Submódulo 2.1)</t>
    </r>
  </si>
  <si>
    <t>2.2</t>
  </si>
  <si>
    <t>GPS, FGTS e outras contribuições</t>
  </si>
  <si>
    <t>INSS</t>
  </si>
  <si>
    <t>Salário Educação</t>
  </si>
  <si>
    <t>RAT x FAP
Cálculo do valor: % do SAT x FAP (Fator Acidentário de Prevenção de cada empresa)</t>
  </si>
  <si>
    <t>RAT =</t>
  </si>
  <si>
    <t xml:space="preserve"> FAP =</t>
  </si>
  <si>
    <t>SESC ou SESI</t>
  </si>
  <si>
    <t>SENAC ou SENAI</t>
  </si>
  <si>
    <t>SEBRAE</t>
  </si>
  <si>
    <t>G</t>
  </si>
  <si>
    <t>INCRA</t>
  </si>
  <si>
    <t>H</t>
  </si>
  <si>
    <t>FGTS</t>
  </si>
  <si>
    <t>Submódulo 2.3 – Benefícios Mensais e Diários</t>
  </si>
  <si>
    <t>2.3</t>
  </si>
  <si>
    <t>Benefícios Mensais e Diários</t>
  </si>
  <si>
    <t>Vale Transporte</t>
  </si>
  <si>
    <t>A.1) Valor da passagem do transporte coletivo no município de prestação dos serviços:</t>
  </si>
  <si>
    <t>A.2) Quantidade de passagens por dia por empregado:</t>
  </si>
  <si>
    <t>A.3) Quantidade de dias do mês de recebimento de passagens</t>
  </si>
  <si>
    <t>A.4) Participação do empregado em percentual do salário-base</t>
  </si>
  <si>
    <t>B.1) Valor do auxílio-alimentação (dia)</t>
  </si>
  <si>
    <t>B.2) Quantidade de dias do mês de recebimento de auxílio-alimentação</t>
  </si>
  <si>
    <t>B.3) Participação do empregado sobre o auxílio-alimentação</t>
  </si>
  <si>
    <t xml:space="preserve">Plano de Saúde </t>
  </si>
  <si>
    <t>Seguro de Vida</t>
  </si>
  <si>
    <t>Quadro-Resumo do Módulo 2 – Encargos e Benefícios Anuais, Mensais e Diários</t>
  </si>
  <si>
    <t>Encargos e Benefícios Anuais, Mensais e Diários</t>
  </si>
  <si>
    <t>13º (décimo terceiro) Salário e Adicional de Férias</t>
  </si>
  <si>
    <t>Módulo 3 - Provisão para Rescisão</t>
  </si>
  <si>
    <t>Provisão para Rescisão</t>
  </si>
  <si>
    <t>Valor  (R$)</t>
  </si>
  <si>
    <t>Aviso Prévio Indenizado</t>
  </si>
  <si>
    <t>Incidência do FGTS sobre o Aviso Prévio Indenizado</t>
  </si>
  <si>
    <t>Multa do FGTS sobre o Aviso Prévio Indenizado</t>
  </si>
  <si>
    <t>Aviso Previo Trabalhado</t>
  </si>
  <si>
    <t xml:space="preserve">Incidência de GPS, FGTS e outras contribuições sobre o Aviso Prévio Trabalhado         </t>
  </si>
  <si>
    <t xml:space="preserve">Multa do FGTS sobre o Aviso Prévio Trabalhado </t>
  </si>
  <si>
    <t>Módulo 4 - Custo de Reposição do Profissional Ausente</t>
  </si>
  <si>
    <t>Base de cálculo para o Custo de Reposição do Profissional Ausente (substituto): BCCPA</t>
  </si>
  <si>
    <t>Rem =</t>
  </si>
  <si>
    <t xml:space="preserve">MOD 2 (sem VA e VT) = </t>
  </si>
  <si>
    <t>MOD 3 =</t>
  </si>
  <si>
    <t>Submódulo 4.1 – Substituto nas Ausências Legais</t>
  </si>
  <si>
    <t>4.1</t>
  </si>
  <si>
    <t>Substituto nas Ausências Legais</t>
  </si>
  <si>
    <t>Substituto na cobertura de Férias</t>
  </si>
  <si>
    <t>A.1</t>
  </si>
  <si>
    <t>Incidência do submódulo 2.2 sobre substituto na cobertura de férias</t>
  </si>
  <si>
    <t>Substituto na cobertura de Ausências Legais</t>
  </si>
  <si>
    <t>Substituto na cobertura de Licença Paternidade</t>
  </si>
  <si>
    <t>Substituto na cobertura de Ausência por acidente de trabalho</t>
  </si>
  <si>
    <t>Substituto na cobertura de Afastamento Maternidade</t>
  </si>
  <si>
    <t>Substituto na Cobertura de Ausências por Doença</t>
  </si>
  <si>
    <t>Submódulo 4.2 – Substituto na Intrajornada</t>
  </si>
  <si>
    <t>4.2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</si>
  <si>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</si>
  <si>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</si>
  <si>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</si>
  <si>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</si>
  <si>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Módulo 5 – Insumos Diversos</t>
  </si>
  <si>
    <t>Insumos diversos</t>
  </si>
  <si>
    <t>Uniformes</t>
  </si>
  <si>
    <t>Materiais</t>
  </si>
  <si>
    <t>Equipamentos (EPI)</t>
  </si>
  <si>
    <t>Outros (especificar)</t>
  </si>
  <si>
    <t>Módulo 6 -  Custos Indiretos, Lucro e Tributos</t>
  </si>
  <si>
    <t>Custos Indiretos, Lucro e Tributos</t>
  </si>
  <si>
    <t>BASE DE CÁLCULO DOS CUSTOS INDIRETOS</t>
  </si>
  <si>
    <t>Custos Indiretos</t>
  </si>
  <si>
    <t>BASE DE CÁLCULO DO LUCRO</t>
  </si>
  <si>
    <t>Lucro</t>
  </si>
  <si>
    <t>BASE DE CÁLCULO DOS TRIBUTOS</t>
  </si>
  <si>
    <t>Tributos</t>
  </si>
  <si>
    <t>-</t>
  </si>
  <si>
    <t>C.1    Tributos Federais (especificar)</t>
  </si>
  <si>
    <r>
      <rPr>
        <b/>
        <sz val="12"/>
        <color rgb="FF000000"/>
        <rFont val="Arial"/>
        <family val="2"/>
        <charset val="1"/>
      </rPr>
      <t>a) Cofins</t>
    </r>
    <r>
      <rPr>
        <b/>
        <sz val="10"/>
        <color rgb="FF000000"/>
        <rFont val="Arial"/>
        <family val="2"/>
        <charset val="1"/>
      </rPr>
      <t xml:space="preserve"> </t>
    </r>
  </si>
  <si>
    <t>b) PIS</t>
  </si>
  <si>
    <t>C.2   Tributos Estaduais (especificar)</t>
  </si>
  <si>
    <t>C.3   Tributos Municipais (especificar):</t>
  </si>
  <si>
    <t xml:space="preserve">Percentual Total e Valor Total de Tributos  </t>
  </si>
  <si>
    <t>Cálculo dos Tributos</t>
  </si>
  <si>
    <t xml:space="preserve">                  Base de Cálculo para os Tributos</t>
  </si>
  <si>
    <t xml:space="preserve"> = ( ---------------------------------------------------------------- ) x Alíquota do Tributo</t>
  </si>
  <si>
    <t xml:space="preserve">         1 - (Total de Tributos em % dividido por 100)</t>
  </si>
  <si>
    <r>
      <rPr>
        <b/>
        <sz val="12"/>
        <color rgb="FF000000"/>
        <rFont val="Arial"/>
        <family val="2"/>
        <charset val="1"/>
      </rPr>
      <t xml:space="preserve">
</t>
    </r>
    <r>
      <rPr>
        <b/>
        <sz val="11"/>
        <color rgb="FF000000"/>
        <rFont val="Arial"/>
        <family val="2"/>
        <charset val="1"/>
      </rPr>
      <t xml:space="preserve">2. QUADRO-RESUMO DO CUSTO POR EMPREGADO
</t>
    </r>
  </si>
  <si>
    <t xml:space="preserve">     Mão de obra vinculada à execução contratual (valor por empregado)</t>
  </si>
  <si>
    <t>Módulo 1 - Composição da Remuneração</t>
  </si>
  <si>
    <t>Módulo 3 – Provisão para Rescisão</t>
  </si>
  <si>
    <t>Módulo 4 – Custo de Reposição do Profissional Ausente</t>
  </si>
  <si>
    <t>Módulo 5 - Insumo Diversos</t>
  </si>
  <si>
    <t>Subtotal (A + B + C + D + E)</t>
  </si>
  <si>
    <t>Módulo 6 - Custos Indiretos, Lucro e Tributos</t>
  </si>
  <si>
    <t>Valor Total por Posto</t>
  </si>
  <si>
    <t>Quantidade de Postos</t>
  </si>
  <si>
    <t>Valor por Empregado</t>
  </si>
  <si>
    <t>Quantidade de empregados</t>
  </si>
  <si>
    <t>Valor total mensal dos postos de serviço</t>
  </si>
  <si>
    <t>Valor mensal do serviço</t>
  </si>
  <si>
    <t>Número de meses do contrato</t>
  </si>
  <si>
    <t>Valor global da proposta (24 meses)</t>
  </si>
  <si>
    <t xml:space="preserve">
PLANILHA DE CUSTOS E FORMAÇÃO DE PREÇOS</t>
  </si>
  <si>
    <t>Salário-Base (Valor para 2 vigilantes = 1 posto)</t>
  </si>
  <si>
    <t>Adicional de Periculosidade (Valor para 2 vigilantes = 1 posto)</t>
  </si>
  <si>
    <t>Adicional Noturno (Valor para 2 Vigilantes = 1 posto)</t>
  </si>
  <si>
    <t>Adicional de Hora Noturna Reduzida (Valor para 2 Vigilantes = 1 posto)</t>
  </si>
  <si>
    <t>Intervalo Intrajornada (Adicional de Intervalo)  Valor para 2 Vigilantes = 1 posto</t>
  </si>
  <si>
    <t>Multa do FGTS e sobre o Aviso Prévio Indenizado</t>
  </si>
  <si>
    <t>1. MÓDULOS
Mão de obra
Mão de obra vinculada à execução contratual</t>
  </si>
  <si>
    <t>Vigilante</t>
  </si>
  <si>
    <r>
      <t>13º (décimo terceiro) Salário</t>
    </r>
    <r>
      <rPr>
        <b/>
        <sz val="10"/>
        <rFont val="Arial"/>
        <family val="2"/>
      </rPr>
      <t xml:space="preserve"> e</t>
    </r>
    <r>
      <rPr>
        <b/>
        <sz val="10"/>
        <color rgb="FF000000"/>
        <rFont val="Arial"/>
        <family val="2"/>
      </rPr>
      <t xml:space="preserve"> Adicional de Férias</t>
    </r>
  </si>
  <si>
    <r>
      <t xml:space="preserve">Submódulo 2.2 - Encargos Previdenciários (GPS), Fundo de Garantia por Tempo de Serviço (FGTS) e outras contribuições </t>
    </r>
    <r>
      <rPr>
        <b/>
        <sz val="10"/>
        <color rgb="FF0000FF"/>
        <rFont val="Arial"/>
        <family val="2"/>
      </rPr>
      <t>(Base de cálculo: Módulo 1 + Submódulo 2.1)</t>
    </r>
  </si>
  <si>
    <t>Multa do FGTS  sobre o Aviso Prévio Indenizado</t>
  </si>
  <si>
    <t xml:space="preserve">
2. QUADRO-RESUMO DO CUSTO POR EMPREGADO
</t>
  </si>
  <si>
    <t>Valor por empregado</t>
  </si>
  <si>
    <t>RECEPCIONISTA</t>
  </si>
  <si>
    <t>Nº do processo: 10380.728959/2018-77</t>
  </si>
  <si>
    <t>Contrato nº 02/2019</t>
  </si>
  <si>
    <t>CE000048/2020</t>
  </si>
  <si>
    <r>
      <rPr>
        <b/>
        <sz val="11"/>
        <color rgb="FF000000"/>
        <rFont val="Calibri"/>
        <family val="2"/>
        <charset val="1"/>
      </rPr>
      <t xml:space="preserve">MÓDULOS
</t>
    </r>
    <r>
      <rPr>
        <b/>
        <sz val="12"/>
        <color rgb="FF000000"/>
        <rFont val="Arial"/>
        <family val="2"/>
        <charset val="1"/>
      </rPr>
      <t xml:space="preserve">Mão de obra
</t>
    </r>
    <r>
      <rPr>
        <b/>
        <sz val="11"/>
        <color rgb="FF000000"/>
        <rFont val="Arial"/>
        <family val="2"/>
        <charset val="1"/>
      </rPr>
      <t>Mão de obra vinculada à execução contratual</t>
    </r>
  </si>
  <si>
    <t>Dados para composição dos custos referentes à mão de obra</t>
  </si>
  <si>
    <t>Recepcionista</t>
  </si>
  <si>
    <t>Salário Normativo da Categoria Profissional – 44 h/sem</t>
  </si>
  <si>
    <t>Data-base da Categoria (dia/mês/ano)</t>
  </si>
  <si>
    <t>MÓDULO 1: COMPOSIÇÃO DA REMUNERAÇÃO</t>
  </si>
  <si>
    <t>Salário-base</t>
  </si>
  <si>
    <t>MÓDULO 2 – ENCARGOS E BENEFÍCIOS ANUAIS, MENSAIS E DIÁRIOS</t>
  </si>
  <si>
    <r>
      <rPr>
        <b/>
        <sz val="11"/>
        <color rgb="FF000000"/>
        <rFont val="Calibri"/>
        <family val="2"/>
        <charset val="1"/>
      </rPr>
      <t>Submódulo 2.1 – 13º (décimo terceiro) Salário</t>
    </r>
    <r>
      <rPr>
        <b/>
        <sz val="11"/>
        <color rgb="FFFF0000"/>
        <rFont val="Arial"/>
        <family val="2"/>
        <charset val="1"/>
      </rPr>
      <t xml:space="preserve"> </t>
    </r>
    <r>
      <rPr>
        <b/>
        <sz val="11"/>
        <color rgb="FF000000"/>
        <rFont val="Calibri"/>
        <family val="2"/>
        <charset val="1"/>
      </rPr>
      <t>e Adicional de Férias</t>
    </r>
  </si>
  <si>
    <r>
      <rPr>
        <b/>
        <sz val="11"/>
        <color rgb="FF000000"/>
        <rFont val="Calibri"/>
        <family val="2"/>
        <charset val="1"/>
      </rPr>
      <t xml:space="preserve">13º (décimo terceiro) Salário
</t>
    </r>
    <r>
      <rPr>
        <sz val="9"/>
        <color rgb="FF000000"/>
        <rFont val="Calibri"/>
        <family val="2"/>
        <charset val="1"/>
      </rPr>
      <t>Obrigatória a cotação de 8,33% sobre o valor do Módulo 1 – Composição da Remuneração, conforme Anexo XII da IN 5/17</t>
    </r>
  </si>
  <si>
    <t>Incidência dos encargos do Submódulo 2.2 sobre o total do Submódulo 2.1</t>
  </si>
  <si>
    <t>Submódulo 2.2 - Encargos Previdenciários (GPS), Fundo de Garantia por Tempo de Serviço (FGTS) e outras contribuições</t>
  </si>
  <si>
    <t>Percentual</t>
  </si>
  <si>
    <r>
      <rPr>
        <b/>
        <sz val="11"/>
        <color rgb="FF000000"/>
        <rFont val="Calibri"/>
        <family val="2"/>
        <charset val="1"/>
      </rPr>
      <t xml:space="preserve">RAT x FAP
</t>
    </r>
    <r>
      <rPr>
        <sz val="9"/>
        <color rgb="FF000000"/>
        <rFont val="Calibri"/>
        <family val="2"/>
        <charset val="1"/>
      </rPr>
      <t>Cálculo do valor: % do SAT x FAP (Fator Acidentário de Prevenção de cada empresa)</t>
    </r>
  </si>
  <si>
    <r>
      <rPr>
        <b/>
        <sz val="11"/>
        <color rgb="FF000000"/>
        <rFont val="Calibri"/>
        <family val="2"/>
        <charset val="1"/>
      </rPr>
      <t xml:space="preserve">Transporte
</t>
    </r>
    <r>
      <rPr>
        <sz val="9"/>
        <color rgb="FF000000"/>
        <rFont val="Arial"/>
        <family val="2"/>
        <charset val="1"/>
      </rPr>
      <t>[(2xVTx22) – (6%xSB)]</t>
    </r>
  </si>
  <si>
    <t xml:space="preserve">      A.1) Valor da passagem do transporte coletivo no município de prestação dos serviços</t>
  </si>
  <si>
    <t xml:space="preserve">      A.2) Quantidade de passagens por dia por empregado</t>
  </si>
  <si>
    <t xml:space="preserve">      A.3) Quantidade de dias do mês de recebimento de passagens</t>
  </si>
  <si>
    <r>
      <rPr>
        <b/>
        <sz val="11"/>
        <color rgb="FF000000"/>
        <rFont val="Calibri"/>
        <family val="2"/>
        <charset val="1"/>
      </rPr>
      <t xml:space="preserve">Auxílio-Refeição/Alimentação
</t>
    </r>
    <r>
      <rPr>
        <sz val="9"/>
        <color rgb="FF000000"/>
        <rFont val="Arial"/>
        <family val="2"/>
        <charset val="1"/>
      </rPr>
      <t>[(22xVA)x(1-0,01)]</t>
    </r>
  </si>
  <si>
    <t xml:space="preserve">      B.1) Valor do auxílio-alimentação</t>
  </si>
  <si>
    <t xml:space="preserve">      B.2) Quantidade de dias do mês de recebimento de auxílio-alimentação</t>
  </si>
  <si>
    <t>Plano de Saúde</t>
  </si>
  <si>
    <t>Auxílio-creche</t>
  </si>
  <si>
    <t>Cesta Básica</t>
  </si>
  <si>
    <t>Auxílio-funeral</t>
  </si>
  <si>
    <t>Quadro Resumo do Módulo 2 – Encargos e Benefícios Anuais, Mensais e Diários</t>
  </si>
  <si>
    <t>MÓDULO 3 - PROVISÃO PARA RESCISÃO</t>
  </si>
  <si>
    <r>
      <rPr>
        <b/>
        <sz val="11"/>
        <color rgb="FF000000"/>
        <rFont val="Calibri"/>
        <family val="2"/>
        <charset val="1"/>
      </rPr>
      <t xml:space="preserve">Aviso Prévio Indenizado
</t>
    </r>
    <r>
      <rPr>
        <sz val="9"/>
        <color rgb="FF000000"/>
        <rFont val="Calibri"/>
        <family val="2"/>
        <charset val="1"/>
      </rPr>
      <t>Aviso-prévio indenizado Cálculo do valor = {Rem/12 + 13º/12=(Rem/12)/12 + Férias/12=(Rem/12)/12 + (1/3xFérias)/12=1/3x[(Rem/12)/12]} x (30/30=1) x 5% de rotatividade anual -</t>
    </r>
  </si>
  <si>
    <r>
      <rPr>
        <b/>
        <sz val="11"/>
        <color rgb="FF000000"/>
        <rFont val="Calibri"/>
        <family val="2"/>
        <charset val="1"/>
      </rPr>
      <t xml:space="preserve">Multa do FGTS e contribuição social sobre o Aviso Prévio Indenizado
</t>
    </r>
    <r>
      <rPr>
        <sz val="9"/>
        <color rgb="FF000000"/>
        <rFont val="Calibri"/>
        <family val="2"/>
        <charset val="1"/>
      </rPr>
      <t>Obrigatória a cotação de 0,24% sobre o valor do Módulo 1 – Composição da Remuneração, conforme Anexo XII da IN Seges nº 5/2017 (0,24% + 4,76% = 5,0%)</t>
    </r>
  </si>
  <si>
    <r>
      <rPr>
        <b/>
        <sz val="11"/>
        <color rgb="FF000000"/>
        <rFont val="Calibri"/>
        <family val="2"/>
        <charset val="1"/>
      </rPr>
      <t xml:space="preserve">Aviso Prévio Trabalhado
</t>
    </r>
    <r>
      <rPr>
        <sz val="9"/>
        <color rgb="FF000000"/>
        <rFont val="Calibri"/>
        <family val="2"/>
        <charset val="1"/>
      </rPr>
      <t>(negociar extinção/redução na 1ª prorrogação)
Cálculo do valor= [(Rem/30)x7]/12 meses do contratox90% dos empregados - ao final do contrato</t>
    </r>
  </si>
  <si>
    <t xml:space="preserve">Incidência dos encargos do Submódulo 2.2 sobre o Aviso Prévio Trabalhado         </t>
  </si>
  <si>
    <r>
      <rPr>
        <b/>
        <sz val="11"/>
        <color rgb="FF000000"/>
        <rFont val="Calibri"/>
        <family val="2"/>
        <charset val="1"/>
      </rPr>
      <t xml:space="preserve">Multa do FGTS e contribuição social sobre o Aviso Prévio Trabalhado
</t>
    </r>
    <r>
      <rPr>
        <sz val="9"/>
        <color rgb="FF000000"/>
        <rFont val="Calibri"/>
        <family val="2"/>
        <charset val="1"/>
      </rPr>
      <t>Obrigatória a cotação de 4,76% sobre o valor do Módulo 1 – Composição da Remuneração, conforme Anexo XII da IN Seges nº 5/2017</t>
    </r>
  </si>
  <si>
    <t>MÓDULO 4 - CUSTO DE REPOSIÇÃO DO PROFISSIONAL AUSENTE</t>
  </si>
  <si>
    <r>
      <rPr>
        <b/>
        <sz val="11"/>
        <color rgb="FF000000"/>
        <rFont val="Calibri"/>
        <family val="2"/>
        <charset val="1"/>
      </rPr>
      <t xml:space="preserve">Base de cálculo para o Custo de Reposição do Profissional Ausente (substituto)
</t>
    </r>
    <r>
      <rPr>
        <sz val="9"/>
        <color rgb="FF000000"/>
        <rFont val="Arial"/>
        <family val="2"/>
        <charset val="1"/>
      </rPr>
      <t>BCCPA = Rem + 13º + Férias + 1/3Férias</t>
    </r>
  </si>
  <si>
    <t>Submódulo 4.1 – Ausências Legais</t>
  </si>
  <si>
    <t>Ausências Legais</t>
  </si>
  <si>
    <r>
      <rPr>
        <b/>
        <sz val="11"/>
        <color rgb="FF000000"/>
        <rFont val="Calibri"/>
        <family val="2"/>
        <charset val="1"/>
      </rPr>
      <t xml:space="preserve">Férias
</t>
    </r>
    <r>
      <rPr>
        <sz val="9"/>
        <color rgb="FF000000"/>
        <rFont val="Calibri"/>
        <family val="2"/>
        <charset val="1"/>
      </rPr>
      <t>Obrigatória a cotação de 9,075% sobre o valor do Módulo 1 – Composição da Remuneração, conforme Anexo XII da IN 5/17 (Férias + Adicional = 9,075% + 3,025% = 12,10%)</t>
    </r>
  </si>
  <si>
    <r>
      <rPr>
        <b/>
        <sz val="11"/>
        <color rgb="FF000000"/>
        <rFont val="Calibri"/>
        <family val="2"/>
        <charset val="1"/>
      </rPr>
      <t xml:space="preserve">Ausências Legais
</t>
    </r>
    <r>
      <rPr>
        <sz val="9"/>
        <color rgb="FF000000"/>
        <rFont val="Arial"/>
        <family val="2"/>
        <charset val="1"/>
      </rPr>
      <t>[(BCCPA/30)x2,96dias]/12</t>
    </r>
  </si>
  <si>
    <r>
      <rPr>
        <b/>
        <sz val="11"/>
        <color rgb="FF000000"/>
        <rFont val="Calibri"/>
        <family val="2"/>
        <charset val="1"/>
      </rPr>
      <t xml:space="preserve">Licença-Paternidade
</t>
    </r>
    <r>
      <rPr>
        <sz val="9"/>
        <color rgb="FF000000"/>
        <rFont val="Arial"/>
        <family val="2"/>
        <charset val="1"/>
      </rPr>
      <t>{[(BCCPA/30)x5dias]/12}x1,5%</t>
    </r>
  </si>
  <si>
    <r>
      <rPr>
        <b/>
        <sz val="11"/>
        <color rgb="FF000000"/>
        <rFont val="Calibri"/>
        <family val="2"/>
        <charset val="1"/>
      </rPr>
      <t xml:space="preserve">Ausência por acidente de trabalho
</t>
    </r>
    <r>
      <rPr>
        <sz val="9"/>
        <color rgb="FF000000"/>
        <rFont val="Arial"/>
        <family val="2"/>
        <charset val="1"/>
      </rPr>
      <t>{[(BCCPA/30)x15dias]/12}x0,78%</t>
    </r>
  </si>
  <si>
    <r>
      <rPr>
        <b/>
        <sz val="11"/>
        <color rgb="FF000000"/>
        <rFont val="Calibri"/>
        <family val="2"/>
        <charset val="1"/>
      </rPr>
      <t xml:space="preserve">Afastamento Maternidade
</t>
    </r>
    <r>
      <rPr>
        <sz val="9"/>
        <color rgb="FF000000"/>
        <rFont val="Arial"/>
        <family val="2"/>
        <charset val="1"/>
      </rPr>
      <t>{[(Rem+1/3Rem)/12]x(4/12)}x2%</t>
    </r>
  </si>
  <si>
    <r>
      <rPr>
        <b/>
        <sz val="11"/>
        <color rgb="FF000000"/>
        <rFont val="Calibri"/>
        <family val="2"/>
        <charset val="1"/>
      </rPr>
      <t xml:space="preserve">(Outros) Ausência por doença (incluído)
</t>
    </r>
    <r>
      <rPr>
        <sz val="9"/>
        <color rgb="FF000000"/>
        <rFont val="Arial"/>
        <family val="2"/>
        <charset val="1"/>
      </rPr>
      <t>[(BCCPA)/30)x5dias]/12</t>
    </r>
  </si>
  <si>
    <t>Incidência dos encargos do Submódulo 2.2 sobre o  total do Submódulo 4.1</t>
  </si>
  <si>
    <t>Submódulo 4.2 – Intrajornada</t>
  </si>
  <si>
    <t>Intervalo para repouso ou alimentação</t>
  </si>
  <si>
    <t>Incidência dos encargos do Submódulo 2.2 sobre o total do Submódulo 4.2</t>
  </si>
  <si>
    <t>Quadro Resumo do Módulo 4 – Custo de Reposição do Profissional Ausente</t>
  </si>
  <si>
    <t>MÓDULO 5 – INSUMOS DIVERSOS</t>
  </si>
  <si>
    <t>Equipamentos</t>
  </si>
  <si>
    <t>MÓDULO 6 -  CUSTOS INDIRETOS, LUCRO E TRIBUTOS</t>
  </si>
  <si>
    <r>
      <rPr>
        <b/>
        <sz val="11"/>
        <color rgb="FF000000"/>
        <rFont val="Calibri"/>
        <family val="2"/>
        <charset val="1"/>
      </rPr>
      <t xml:space="preserve">BASE DE CÁLCULO DOS CUSTOS INDIRETOS
</t>
    </r>
    <r>
      <rPr>
        <sz val="9"/>
        <color rgb="FF000000"/>
        <rFont val="Arial"/>
        <family val="2"/>
        <charset val="1"/>
      </rPr>
      <t>(Total do Módulo 1 – Composição da Remuneração + Total do Módulo 2 - Encargos e Benefícios Anuais, Mensais e Diários + Total do Módulo 3 – Provisão da Rescisão + Total do Módulo 4 - Custo de Reposição do Profissional Ausente + Total do Módulo 5 - Insumos Diversos)</t>
    </r>
  </si>
  <si>
    <r>
      <rPr>
        <b/>
        <sz val="11"/>
        <color rgb="FF000000"/>
        <rFont val="Calibri"/>
        <family val="2"/>
        <charset val="1"/>
      </rPr>
      <t xml:space="preserve">BASE DE CÁLCULO DO LUCRO
</t>
    </r>
    <r>
      <rPr>
        <sz val="9"/>
        <color rgb="FF000000"/>
        <rFont val="Arial"/>
        <family val="2"/>
        <charset val="1"/>
      </rPr>
      <t>(Total do Módulo 1 – Composição da Remuneração + Total do Módulo 2 - Encargos e Benefícios Anuais, Mensais e Diários + Total do Módulo 3 – Provisão da Rescisão + Total do Módulo 4 - Custo de Reposição do Profissional Ausente + Total do Módulo 5 - Insumos Diversos + Custos Indiretos)</t>
    </r>
  </si>
  <si>
    <r>
      <rPr>
        <b/>
        <sz val="11"/>
        <color rgb="FF000000"/>
        <rFont val="Calibri"/>
        <family val="2"/>
        <charset val="1"/>
      </rPr>
      <t xml:space="preserve">BASE DE CÁLCULO DOS TRIBUTOS
</t>
    </r>
    <r>
      <rPr>
        <sz val="9"/>
        <color rgb="FF000000"/>
        <rFont val="Arial"/>
        <family val="2"/>
        <charset val="1"/>
      </rPr>
      <t>(Total do Módulo 1 – Composição da Remuneração + Total do Módulo 2 - Encargos e Benefícios Anuais, Mensais e Diários + Total do Módulo 3 – Provisão da Rescisão + Total do Módulo 4 - Custo de Reposição do Profissional Ausente + Total do Módulo 5 - Insumos Diversos + Custos Indiretos + Lucro)</t>
    </r>
  </si>
  <si>
    <t xml:space="preserve">  a) Cofins</t>
  </si>
  <si>
    <t xml:space="preserve">  b) PIS</t>
  </si>
  <si>
    <t>c) IRPJ</t>
  </si>
  <si>
    <t>d) CSLL</t>
  </si>
  <si>
    <t>C.3   Tributos Municipais (especificar)</t>
  </si>
  <si>
    <t xml:space="preserve">  a) ISS           </t>
  </si>
  <si>
    <t xml:space="preserve">
2. QUADRO RESUMO DO CUSTO POR EMPREGADO
</t>
  </si>
  <si>
    <t xml:space="preserve">                          MÃO DE OBRA VINCULADA À EXECUÇÃO CONTRATUAL (VALOR POR EMPREGADO)</t>
  </si>
  <si>
    <t>Valor Total por Empregado</t>
  </si>
  <si>
    <t>MOTORISTA – CATEGORIA B</t>
  </si>
  <si>
    <t>CE000786/2020</t>
  </si>
  <si>
    <t>Motorista B</t>
  </si>
  <si>
    <r>
      <rPr>
        <b/>
        <sz val="11"/>
        <color rgb="FF000000"/>
        <rFont val="Calibri"/>
        <family val="2"/>
        <charset val="1"/>
      </rPr>
      <t xml:space="preserve">Auxílio-Refeição/Alimentação
</t>
    </r>
    <r>
      <rPr>
        <sz val="9"/>
        <color rgb="FF000000"/>
        <rFont val="Arial"/>
        <family val="2"/>
        <charset val="1"/>
      </rPr>
      <t>[(22xVA)x(1-0,01)] atenção: 0,10 centavos CCT</t>
    </r>
  </si>
  <si>
    <r>
      <rPr>
        <b/>
        <sz val="11"/>
        <color rgb="FF000000"/>
        <rFont val="Calibri"/>
        <family val="2"/>
        <charset val="1"/>
      </rPr>
      <t xml:space="preserve">Aviso Prévio Indenizado
</t>
    </r>
    <r>
      <rPr>
        <b/>
        <sz val="8"/>
        <color rgb="FF000000"/>
        <rFont val="Arial"/>
        <family val="2"/>
        <charset val="1"/>
      </rPr>
      <t>Aviso-prévio indenizado Cálculo do valor = {Rem/12 + 13º/12=(Rem/12)/12 + Férias/12=(Rem/12)/12 + (1/3xFérias)/12=1/3x[(Rem/12)/12]} x (30/30=1) x 5% de rotatividade anual -</t>
    </r>
  </si>
  <si>
    <r>
      <rPr>
        <b/>
        <sz val="11"/>
        <color rgb="FF000000"/>
        <rFont val="Calibri"/>
        <family val="2"/>
        <charset val="1"/>
      </rPr>
      <t xml:space="preserve">Multa do FGTS e contribuição social sobre o Aviso Prévio Indenizado
</t>
    </r>
    <r>
      <rPr>
        <b/>
        <sz val="8"/>
        <color rgb="FF000000"/>
        <rFont val="Arial"/>
        <family val="2"/>
        <charset val="1"/>
      </rPr>
      <t>Obrigatória a cotação de 0,24% sobre o valor do Módulo 1 – Composição da Remuneração, conforme Anexo XII da IN Seges nº 5/2017 (0,24% + 4,76% = 5,0%)</t>
    </r>
  </si>
  <si>
    <r>
      <rPr>
        <b/>
        <sz val="11"/>
        <color rgb="FF000000"/>
        <rFont val="Calibri"/>
        <family val="2"/>
        <charset val="1"/>
      </rPr>
      <t xml:space="preserve">Aviso Prévio Trabalhado
</t>
    </r>
    <r>
      <rPr>
        <b/>
        <sz val="8"/>
        <color rgb="FF000000"/>
        <rFont val="Arial"/>
        <family val="2"/>
        <charset val="1"/>
      </rPr>
      <t>Cálculo do valor= [(Rem/30)x7]/12 meses do contratox90% dos empregados - ao final do contrato</t>
    </r>
  </si>
  <si>
    <r>
      <rPr>
        <b/>
        <sz val="11"/>
        <color rgb="FF000000"/>
        <rFont val="Calibri"/>
        <family val="2"/>
        <charset val="1"/>
      </rPr>
      <t xml:space="preserve">Multa do FGTS e contribuição social sobre o Aviso Prévio Trabalhado
</t>
    </r>
    <r>
      <rPr>
        <b/>
        <sz val="8"/>
        <color rgb="FF000000"/>
        <rFont val="Arial"/>
        <family val="2"/>
        <charset val="1"/>
      </rPr>
      <t>Obrigatória a cotação de 4,76% sobre o valor do Módulo 1 – Composição da Remuneração, conforme Anexo XII da IN Seges nº 5/2017</t>
    </r>
  </si>
  <si>
    <t>Base de cálculo para o Custo de Reposição do Profissional Ausente (substituto): BCCPA = Rem + 13º + Férias + 1/3Férias</t>
  </si>
  <si>
    <t>Nota: As alíneas “A” a “F” referem-se somente ao custo que será pago ao repositor pelos dias trabalhados quando da necessidade de substituir a mão de obra alocada na prestação do serviço.</t>
  </si>
  <si>
    <t>Nota: Quando houver a necessidade de reposição de um empregado durante sua ausência nos intervalos para repouso ou alimentação deve-se contemplar o Submódulo 4.2.</t>
  </si>
  <si>
    <t>Nota: Valores mensais por empregado.</t>
  </si>
  <si>
    <t>Nota 1: Custos Indiretos, Lucro e Tributos por empregado.
Nota 2: O valor referente a tributos é obtido aplicando-se o percentual sobre o valor do faturamento.</t>
  </si>
  <si>
    <t>MOTORISTA – CATEGORIA C</t>
  </si>
  <si>
    <t>Salário Normativo da Categoria Profissional - para a jornada de 44 h/sem</t>
  </si>
  <si>
    <t>Motorista C (caminhão leve até 11 toneladas)</t>
  </si>
  <si>
    <t>Salário-Base para a jornada de 44 horas semanais Cálculo do valor:</t>
  </si>
  <si>
    <r>
      <rPr>
        <b/>
        <sz val="11"/>
        <color rgb="FF000000"/>
        <rFont val="Calibri"/>
        <family val="2"/>
        <charset val="1"/>
      </rPr>
      <t xml:space="preserve">13º (décimo terceiro) Salário
</t>
    </r>
    <r>
      <rPr>
        <b/>
        <sz val="8"/>
        <color rgb="FF000000"/>
        <rFont val="Arial"/>
        <family val="2"/>
        <charset val="1"/>
      </rPr>
      <t>Obrigatória a cotação de 8,33% sobre o valor do Módulo 1 – Composição da Remuneração, conforme Anexo XII da IN 5/17</t>
    </r>
  </si>
  <si>
    <r>
      <rPr>
        <b/>
        <sz val="11"/>
        <color rgb="FF000000"/>
        <rFont val="Calibri"/>
        <family val="2"/>
        <charset val="1"/>
      </rPr>
      <t xml:space="preserve">RAT x FAP
</t>
    </r>
    <r>
      <rPr>
        <b/>
        <sz val="8"/>
        <color rgb="FF000000"/>
        <rFont val="Arial"/>
        <family val="2"/>
        <charset val="1"/>
      </rPr>
      <t>Cálculo do valor: % do SAT x FAP (Fator Acidentário de Prevenção de cada empresa)</t>
    </r>
  </si>
  <si>
    <t>COPEIRA</t>
  </si>
  <si>
    <t>Copeira</t>
  </si>
  <si>
    <t>Salário-Base para a jornada de 44 horas semanais</t>
  </si>
  <si>
    <r>
      <rPr>
        <b/>
        <sz val="11"/>
        <color rgb="FF000000"/>
        <rFont val="Calibri"/>
        <family val="2"/>
        <charset val="1"/>
      </rPr>
      <t xml:space="preserve">13º (décimo terceiro) Salário
</t>
    </r>
    <r>
      <rPr>
        <sz val="8"/>
        <color rgb="FF000000"/>
        <rFont val="Arial"/>
        <family val="2"/>
        <charset val="1"/>
      </rPr>
      <t>Obrigatória a cotação de 8,33% sobre o valor do Módulo 1 – Composição da Remuneração, conforme Anexo XII da IN 5/17</t>
    </r>
  </si>
  <si>
    <r>
      <rPr>
        <b/>
        <sz val="11"/>
        <color rgb="FF000000"/>
        <rFont val="Calibri"/>
        <family val="2"/>
        <charset val="1"/>
      </rPr>
      <t xml:space="preserve">Aviso Prévio Indenizado
</t>
    </r>
    <r>
      <rPr>
        <sz val="8"/>
        <color rgb="FF000000"/>
        <rFont val="Arial"/>
        <family val="2"/>
        <charset val="1"/>
      </rPr>
      <t>Aviso-prévio indenizado Cálculo do valor = {Rem/12 + 13º/12=(Rem/12)/12 + Férias/12=(Rem/12)/12 + (1/3xFérias)/12=1/3x[(Rem/12)/12]} x (30/30=1) x 5% de rotatividade anual -</t>
    </r>
  </si>
  <si>
    <r>
      <rPr>
        <b/>
        <sz val="11"/>
        <color rgb="FF000000"/>
        <rFont val="Calibri"/>
        <family val="2"/>
        <charset val="1"/>
      </rPr>
      <t xml:space="preserve">Multa do FGTS e contribuição social sobre o Aviso Prévio Indenizado
</t>
    </r>
    <r>
      <rPr>
        <sz val="8"/>
        <color rgb="FF000000"/>
        <rFont val="Arial"/>
        <family val="2"/>
        <charset val="1"/>
      </rPr>
      <t>Obrigatória a cotação de 0,24% sobre o valor do Módulo 1 – Composição da Remuneração, conforme Anexo XII da IN Seges nº 5/2017 (0,24% + 4,76% = 5,0%)</t>
    </r>
  </si>
  <si>
    <r>
      <rPr>
        <b/>
        <sz val="11"/>
        <color rgb="FF000000"/>
        <rFont val="Calibri"/>
        <family val="2"/>
        <charset val="1"/>
      </rPr>
      <t xml:space="preserve">Aviso Prévio Trabalhado </t>
    </r>
    <r>
      <rPr>
        <sz val="9"/>
        <color rgb="FF000000"/>
        <rFont val="Arial"/>
        <family val="2"/>
        <charset val="1"/>
      </rPr>
      <t xml:space="preserve">(negociar extinção/redução na 1ª prorrogação)
</t>
    </r>
    <r>
      <rPr>
        <sz val="8"/>
        <color rgb="FF000000"/>
        <rFont val="Arial"/>
        <family val="2"/>
        <charset val="1"/>
      </rPr>
      <t>Cálculo do valor= [(Rem/30)x7]/12 meses do contratox90% dos empregados - ao final do contrato</t>
    </r>
  </si>
  <si>
    <r>
      <rPr>
        <b/>
        <sz val="11"/>
        <color rgb="FF000000"/>
        <rFont val="Calibri"/>
        <family val="2"/>
        <charset val="1"/>
      </rPr>
      <t xml:space="preserve">Multa do FGTS e contribuição social sobre o Aviso Prévio Trabalhado
</t>
    </r>
    <r>
      <rPr>
        <sz val="8"/>
        <color rgb="FF000000"/>
        <rFont val="Arial"/>
        <family val="2"/>
        <charset val="1"/>
      </rPr>
      <t>Obrigatória a cotação de 4,76% sobre o valor do Módulo 1 – Composição da Remuneração, conforme Anexo XII da IN Seges nº 5/2017</t>
    </r>
  </si>
  <si>
    <t>CARREGADOR 44H</t>
  </si>
  <si>
    <t>Carregador</t>
  </si>
  <si>
    <t>a) Cofins</t>
  </si>
  <si>
    <t xml:space="preserve">a) ISS           </t>
  </si>
  <si>
    <t>2. QUADRO RESUMO DO CUSTO POR EMPREGADO</t>
  </si>
  <si>
    <t>CARREGADOR 12x36 DIURNO</t>
  </si>
  <si>
    <r>
      <rPr>
        <b/>
        <sz val="11"/>
        <color rgb="FF000000"/>
        <rFont val="Calibri"/>
        <family val="2"/>
        <charset val="1"/>
      </rPr>
      <t xml:space="preserve">Valor do SalárioxHora
</t>
    </r>
    <r>
      <rPr>
        <sz val="9"/>
        <color rgb="FF000000"/>
        <rFont val="Arial"/>
        <family val="2"/>
        <charset val="1"/>
      </rPr>
      <t>VSH (s/peri) = (Valor do salário normativo / 220 h)</t>
    </r>
  </si>
  <si>
    <r>
      <rPr>
        <b/>
        <sz val="11"/>
        <color rgb="FF000000"/>
        <rFont val="Calibri"/>
        <family val="2"/>
        <charset val="1"/>
      </rPr>
      <t xml:space="preserve">Valor da hora extra com 75%
</t>
    </r>
    <r>
      <rPr>
        <sz val="9"/>
        <color rgb="FF000000"/>
        <rFont val="Arial"/>
        <family val="2"/>
        <charset val="1"/>
      </rPr>
      <t>HE (s/peri) = valor da hora + 75%</t>
    </r>
  </si>
  <si>
    <t>Quantidade de carregadores por posto de serviço</t>
  </si>
  <si>
    <t>MÓDULO 1: COMPOSIÇÃO DA REMUNERAÇÃO POR POSTO</t>
  </si>
  <si>
    <t>Composição da Remuneração (por Posto)</t>
  </si>
  <si>
    <t>Salário-base (valor para 2 carregadores = 1 posto)</t>
  </si>
  <si>
    <t xml:space="preserve">Outros (especificar)                      </t>
  </si>
  <si>
    <r>
      <rPr>
        <b/>
        <sz val="11"/>
        <color rgb="FF000000"/>
        <rFont val="Calibri"/>
        <family val="2"/>
        <charset val="1"/>
      </rPr>
      <t xml:space="preserve">Total
</t>
    </r>
    <r>
      <rPr>
        <sz val="9"/>
        <color rgb="FF000000"/>
        <rFont val="Arial"/>
        <family val="2"/>
        <charset val="1"/>
      </rPr>
      <t>Total da Remuneração que incide INSS + FGTS + Férias + 13º Salário</t>
    </r>
  </si>
  <si>
    <r>
      <rPr>
        <b/>
        <sz val="11"/>
        <color rgb="FF000000"/>
        <rFont val="Calibri"/>
        <family val="2"/>
        <charset val="1"/>
      </rPr>
      <t xml:space="preserve">Intervalo Intrajornada (Adicional de Intervalo)
</t>
    </r>
    <r>
      <rPr>
        <sz val="9"/>
        <color rgb="FF000000"/>
        <rFont val="Arial"/>
        <family val="2"/>
        <charset val="1"/>
      </rPr>
      <t>HE (s/peri) x 15d x2carx0,75h)</t>
    </r>
  </si>
  <si>
    <r>
      <rPr>
        <b/>
        <sz val="10"/>
        <color rgb="FF000000"/>
        <rFont val="Arial"/>
        <family val="2"/>
        <charset val="1"/>
      </rPr>
      <t xml:space="preserve">Total da Remuneração de verbas de natureza indenizatória
</t>
    </r>
    <r>
      <rPr>
        <sz val="9"/>
        <color rgb="FF000000"/>
        <rFont val="Calibri"/>
        <family val="2"/>
        <charset val="1"/>
      </rPr>
      <t>Valor entra nos seguintes cálculos: Item 2, "A" – Quadro Resumo do Custo por Posto de Trabalho, Custos Indiretos, Lucro e Tributos</t>
    </r>
  </si>
  <si>
    <r>
      <rPr>
        <b/>
        <sz val="11"/>
        <color rgb="FF000000"/>
        <rFont val="Calibri"/>
        <family val="2"/>
        <charset val="1"/>
      </rPr>
      <t xml:space="preserve">13º (décimo terceiro) Salário
</t>
    </r>
    <r>
      <rPr>
        <sz val="8"/>
        <color rgb="FF000000"/>
        <rFont val="Arial"/>
        <family val="2"/>
        <charset val="1"/>
      </rPr>
      <t>Obrigatória a cotação de 8,33% sobre o valor do Módulo 1 – Composição da Remuneração1, conforme Anexo XII da IN 5/17</t>
    </r>
  </si>
  <si>
    <t>'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</si>
  <si>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</si>
  <si>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</t>
  </si>
  <si>
    <r>
      <rPr>
        <b/>
        <sz val="11"/>
        <color rgb="FF000000"/>
        <rFont val="Calibri"/>
        <family val="2"/>
        <charset val="1"/>
      </rPr>
      <t xml:space="preserve">RAT x FAP
</t>
    </r>
    <r>
      <rPr>
        <b/>
        <sz val="8"/>
        <color rgb="FF000000"/>
        <rFont val="Arial"/>
        <family val="2"/>
        <charset val="1"/>
      </rPr>
      <t>Cálculo do valor: % do RAT x FAP (Fator Acidentário de Prevenção de cada empresa)</t>
    </r>
  </si>
  <si>
    <t xml:space="preserve">SESC ou SESI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</si>
  <si>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</si>
  <si>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</t>
  </si>
  <si>
    <t xml:space="preserve">INCRA  </t>
  </si>
  <si>
    <r>
      <rPr>
        <sz val="11"/>
        <color rgb="FF000000"/>
        <rFont val="Calibri"/>
        <family val="2"/>
        <charset val="1"/>
      </rPr>
      <t xml:space="preserve">Transporte
</t>
    </r>
    <r>
      <rPr>
        <sz val="9"/>
        <color rgb="FF000000"/>
        <rFont val="Calibri"/>
        <family val="2"/>
        <charset val="1"/>
      </rPr>
      <t>[(2xVTx22) – (6%xSB)]</t>
    </r>
  </si>
  <si>
    <t>A.1) Valor da passagem do transporte coletivo no município de prestação dos serviços</t>
  </si>
  <si>
    <t>A.2) Quantidade de passagens por dia por empregado</t>
  </si>
  <si>
    <r>
      <rPr>
        <b/>
        <sz val="11"/>
        <color rgb="FF000000"/>
        <rFont val="Calibri"/>
        <family val="2"/>
        <charset val="1"/>
      </rPr>
      <t xml:space="preserve">Auxílio-Refeição/Alimentação
</t>
    </r>
    <r>
      <rPr>
        <sz val="9"/>
        <color rgb="FF000000"/>
        <rFont val="Arial"/>
        <family val="2"/>
        <charset val="1"/>
      </rPr>
      <t>[(30xVA)x(1-0,20)]</t>
    </r>
  </si>
  <si>
    <t>B.1) Valor do Auxílio-Alimentação</t>
  </si>
  <si>
    <t>B.3) Participação do empregado em percentual sobre o auxílio-alimentação</t>
  </si>
  <si>
    <t>Outros (Cesta Básica)</t>
  </si>
  <si>
    <r>
      <rPr>
        <b/>
        <sz val="11"/>
        <color rgb="FF000000"/>
        <rFont val="Calibri"/>
        <family val="2"/>
        <charset val="1"/>
      </rPr>
      <t xml:space="preserve">Aviso Prévio Indenizado
</t>
    </r>
    <r>
      <rPr>
        <sz val="9"/>
        <color rgb="FF000000"/>
        <rFont val="Calibri"/>
        <family val="2"/>
        <charset val="1"/>
      </rPr>
      <t>[Rem1/12 + 13º/12 + Férias/12 + (1/3xFérias)/12] x (30/30=1) x 5% de rotatividade anual</t>
    </r>
  </si>
  <si>
    <r>
      <rPr>
        <b/>
        <sz val="11"/>
        <color rgb="FF000000"/>
        <rFont val="Calibri"/>
        <family val="2"/>
        <charset val="1"/>
      </rPr>
      <t xml:space="preserve">Aviso Prévio Trabalhado
</t>
    </r>
    <r>
      <rPr>
        <sz val="9"/>
        <color rgb="FF000000"/>
        <rFont val="Arial"/>
        <family val="2"/>
        <charset val="1"/>
      </rPr>
      <t>(negociar extinção/redução na 1ª prorrogação)
Cálculo do valor= [(Rem/30)x7]/12 meses do contratox90% dos empregados - ao final do contrato</t>
    </r>
  </si>
  <si>
    <t>Incidência dos encargos  do Submódulo 2.2 sobre o Aviso Prévio Trabalhado</t>
  </si>
  <si>
    <r>
      <rPr>
        <b/>
        <sz val="11"/>
        <color rgb="FF000000"/>
        <rFont val="Calibri"/>
        <family val="2"/>
        <charset val="1"/>
      </rPr>
      <t xml:space="preserve">Base de cálculo para o Custo de Reposição do Profissional Ausente (substituto)
</t>
    </r>
    <r>
      <rPr>
        <sz val="9"/>
        <color rgb="FF000000"/>
        <rFont val="Arial"/>
        <family val="2"/>
        <charset val="1"/>
      </rPr>
      <t>BCCPA = Rem1 + 13º + Férias + 1/3Férias</t>
    </r>
  </si>
  <si>
    <r>
      <rPr>
        <b/>
        <sz val="11"/>
        <color rgb="FF000000"/>
        <rFont val="Calibri"/>
        <family val="2"/>
        <charset val="1"/>
      </rPr>
      <t xml:space="preserve">Licença-paternidade
</t>
    </r>
    <r>
      <rPr>
        <sz val="9"/>
        <color rgb="FF000000"/>
        <rFont val="Arial"/>
        <family val="2"/>
        <charset val="1"/>
      </rPr>
      <t>{[(BCCPA/30)x5dias]/12}x1,5%</t>
    </r>
  </si>
  <si>
    <r>
      <rPr>
        <b/>
        <sz val="11"/>
        <color rgb="FF000000"/>
        <rFont val="Calibri"/>
        <family val="2"/>
        <charset val="1"/>
      </rPr>
      <t xml:space="preserve">Afastamento Maternidade
</t>
    </r>
    <r>
      <rPr>
        <sz val="9"/>
        <color rgb="FF000000"/>
        <rFont val="Arial"/>
        <family val="2"/>
        <charset val="1"/>
      </rPr>
      <t>{[(Rem1+1/3xRem1)/12]x(4/12)}x2%</t>
    </r>
  </si>
  <si>
    <r>
      <rPr>
        <b/>
        <sz val="11"/>
        <color rgb="FF000000"/>
        <rFont val="Calibri"/>
        <family val="2"/>
        <charset val="1"/>
      </rPr>
      <t xml:space="preserve">(Outros) Ausência por doença
</t>
    </r>
    <r>
      <rPr>
        <sz val="9"/>
        <color rgb="FF000000"/>
        <rFont val="Arial"/>
        <family val="2"/>
        <charset val="1"/>
      </rPr>
      <t>[(BCCPA/30)x3dias]/12</t>
    </r>
  </si>
  <si>
    <t>Incidência dos encargos do Submódulo 2.2 sobre o total do Submódulo 4.1</t>
  </si>
  <si>
    <t>Insumos Diversos</t>
  </si>
  <si>
    <t xml:space="preserve">Uniformes  </t>
  </si>
  <si>
    <t>MÓDULO 6 - CUSTOS INDIRETOS, LUCRO E TRIBUTOS</t>
  </si>
  <si>
    <r>
      <rPr>
        <b/>
        <sz val="11"/>
        <color rgb="FF000000"/>
        <rFont val="Calibri"/>
        <family val="2"/>
        <charset val="1"/>
      </rPr>
      <t xml:space="preserve">BASE DE CÁLCULO DOS CUSTOS INDIRETOS
</t>
    </r>
    <r>
      <rPr>
        <sz val="9"/>
        <color rgb="FF000000"/>
        <rFont val="Arial"/>
        <family val="2"/>
        <charset val="1"/>
      </rPr>
      <t>(Total do Módulo 1 – Composição da Remuneração2 + Total do Módulo 2 - Encargos e Benefícios Anuais, Mensais e Diários + Total do Módulo 3 – Provisão da Rescisão + Total do Módulo 4 - Custo de Reposição do Profissional Ausente + Total do Módulo 5 - Insumos Diversos)</t>
    </r>
  </si>
  <si>
    <r>
      <rPr>
        <b/>
        <sz val="11"/>
        <color rgb="FF000000"/>
        <rFont val="Calibri"/>
        <family val="2"/>
        <charset val="1"/>
      </rPr>
      <t xml:space="preserve">BASE DE CÁLCULO DO LUCRO
</t>
    </r>
    <r>
      <rPr>
        <sz val="9"/>
        <color rgb="FF000000"/>
        <rFont val="Arial"/>
        <family val="2"/>
        <charset val="1"/>
      </rPr>
      <t>(Total do Módulo 1 – Composição da Remuneração2 + Total do Módulo 2 - Encargos e Benefícios Anuais, Mensais e Diários + Total do Módulo 3 – Provisão da Rescisão + Total do Módulo 4 - Custo de Reposição do Profissional Ausente + Total do Módulo 5 - Insumos Diversos + Custos Indiretos)</t>
    </r>
  </si>
  <si>
    <r>
      <rPr>
        <b/>
        <sz val="11"/>
        <color rgb="FF000000"/>
        <rFont val="Calibri"/>
        <family val="2"/>
        <charset val="1"/>
      </rPr>
      <t xml:space="preserve">BASE DE CÁLCULO DOS TRIBUTOS
</t>
    </r>
    <r>
      <rPr>
        <sz val="9"/>
        <color rgb="FF000000"/>
        <rFont val="Arial"/>
        <family val="2"/>
        <charset val="1"/>
      </rPr>
      <t>(Total do Módulo 1 – Composição da Remuneração2 + Total do Módulo 2 - Encargos e Benefícios Anuais, Mensais e Diários + Total do Módulo 3 – Provisão da Rescisão + Total do Módulo 4 - Custo de Reposição do Profissional Ausente + Total do Módulo 5 - Insumos Diversos + Custos Indiretos + Lucro)</t>
    </r>
  </si>
  <si>
    <t>C.1    Tributos federais (especificar)</t>
  </si>
  <si>
    <r>
      <rPr>
        <b/>
        <sz val="10"/>
        <color rgb="FF000000"/>
        <rFont val="Arial"/>
        <family val="2"/>
        <charset val="1"/>
      </rPr>
      <t>a) Cofins (</t>
    </r>
    <r>
      <rPr>
        <sz val="8"/>
        <color rgb="FF000000"/>
        <rFont val="Arial"/>
        <family val="2"/>
        <charset val="1"/>
      </rPr>
      <t>Lucro Real</t>
    </r>
    <r>
      <rPr>
        <b/>
        <sz val="8"/>
        <color rgb="FF000000"/>
        <rFont val="Arial"/>
        <family val="2"/>
        <charset val="1"/>
      </rPr>
      <t>)</t>
    </r>
  </si>
  <si>
    <r>
      <rPr>
        <b/>
        <sz val="10"/>
        <color rgb="FF000000"/>
        <rFont val="Arial"/>
        <family val="2"/>
        <charset val="1"/>
      </rPr>
      <t>b) PIS (</t>
    </r>
    <r>
      <rPr>
        <sz val="8"/>
        <color rgb="FF000000"/>
        <rFont val="Arial"/>
        <family val="2"/>
        <charset val="1"/>
      </rPr>
      <t>Lucro Real</t>
    </r>
    <r>
      <rPr>
        <b/>
        <sz val="8"/>
        <color rgb="FF000000"/>
        <rFont val="Arial"/>
        <family val="2"/>
        <charset val="1"/>
      </rPr>
      <t>)</t>
    </r>
  </si>
  <si>
    <t>C.2   Tributos estaduais (especificar)</t>
  </si>
  <si>
    <t>C.3   Tributos municipais (especificar):</t>
  </si>
  <si>
    <t>a) ISS</t>
  </si>
  <si>
    <t>TOTAL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</si>
  <si>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</si>
  <si>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</si>
  <si>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</si>
  <si>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Módulo 1 - Composição da Remuneração2</t>
  </si>
  <si>
    <t>O complemento abaixo é uma planilha auxiliar que consolida as várias planilhas com os diferentes tipos de postos</t>
  </si>
  <si>
    <t>3.  COMPLEMENTO – VALOR MENSAL DOS SERVIÇOS</t>
  </si>
  <si>
    <t>ESCALA DE TRABALHO</t>
  </si>
  <si>
    <t>PREÇO MENSAL DO POSTO (R$)</t>
  </si>
  <si>
    <t>NÚMERO DE POSTOS</t>
  </si>
  <si>
    <t>SUBTOTAL (R$)</t>
  </si>
  <si>
    <t>12 horas diurnas, de segunda-feira a domingo, envolvendo 2 (dois) carregadores em turnos de  12 (doze) por 36 (trinta e seis) horas</t>
  </si>
  <si>
    <r>
      <rPr>
        <b/>
        <sz val="11"/>
        <color rgb="FF000000"/>
        <rFont val="Calibri"/>
        <family val="2"/>
        <charset val="1"/>
      </rPr>
      <t xml:space="preserve">Valor da hora do adicional noturno
</t>
    </r>
    <r>
      <rPr>
        <sz val="9"/>
        <color rgb="FF000000"/>
        <rFont val="Arial"/>
        <family val="2"/>
        <charset val="1"/>
      </rPr>
      <t>AN (s/peri)=valor da hora x 21%</t>
    </r>
  </si>
  <si>
    <t xml:space="preserve">Adicional Noturno                </t>
  </si>
  <si>
    <t>Intervalo Intrajornada (Adicional de Intervalo) Cálculo do valor: HE (s/peri) x 15d x2carx0,75h) – Cláusula 29ª da CCT 2018/2019</t>
  </si>
  <si>
    <r>
      <rPr>
        <b/>
        <sz val="11"/>
        <color rgb="FF000000"/>
        <rFont val="Calibri"/>
        <family val="2"/>
        <charset val="1"/>
      </rPr>
      <t xml:space="preserve">13º (décimo terceiro) Salário
</t>
    </r>
    <r>
      <rPr>
        <sz val="9"/>
        <color rgb="FF000000"/>
        <rFont val="Calibri"/>
        <family val="2"/>
        <charset val="1"/>
      </rPr>
      <t>Obrigatória a cotação de 8,33% sobre o valor do Módulo 1 – Composição da Remuneração1, conforme Anexo XII da IN 5/17</t>
    </r>
  </si>
  <si>
    <t>Base de cálculo para o Custo de Reposição do Profissional Ausente (substituto): BCCPA = Rem1 + 13º + Férias + 1/3Férias</t>
  </si>
  <si>
    <t>12 horas diurnas, de segunda-feira a domingo, envolvendo 2 (dois) vigilantes em turnos de  12 (doze) por 36 (trinta e seis) horas</t>
  </si>
  <si>
    <t>Outros (especifica)</t>
  </si>
  <si>
    <t>ITEM</t>
  </si>
  <si>
    <t>TIPO DE POSTO</t>
  </si>
  <si>
    <t>QUANTIDADE DE POSTOS</t>
  </si>
  <si>
    <t>VALOR MENSAL</t>
  </si>
  <si>
    <t>Hora Noturna Reduzida (Valor para 2 Vigilantes = 1 posto)</t>
  </si>
  <si>
    <t>13075.141464/2025-18</t>
  </si>
  <si>
    <t>Teresina/PI</t>
  </si>
  <si>
    <t>PI000015/2025</t>
  </si>
  <si>
    <t>A.1) Valor da passagem do transporte coletivo no município de prestação dos serviços: Decreto Municipal nº 26.149/2024</t>
  </si>
  <si>
    <t>Auxílio Funeral</t>
  </si>
  <si>
    <t>Auxílio Creche</t>
  </si>
  <si>
    <t>Parnaíba/PI</t>
  </si>
  <si>
    <t>Floriano/PI</t>
  </si>
  <si>
    <t>a) ISS (Lei Complementar nº 4.974/2016)</t>
  </si>
  <si>
    <t>a) ISS (Lei Complementar nº 2.210/2005)</t>
  </si>
  <si>
    <t>a) ISS (Lei Complementar nº 02/2005)</t>
  </si>
  <si>
    <t>Valor da hora extra com 60% (c/ peri.) = valor da hora + 60%</t>
  </si>
  <si>
    <r>
      <t>Valor da hora extra noturna com 60% = valor da hora noturna + 60% (</t>
    </r>
    <r>
      <rPr>
        <b/>
        <sz val="10"/>
        <color rgb="FFFF0000"/>
        <rFont val="Arial"/>
        <family val="2"/>
      </rPr>
      <t>Cláusula 11ª, da CCT</t>
    </r>
    <r>
      <rPr>
        <b/>
        <sz val="10"/>
        <color rgb="FF000000"/>
        <rFont val="Arial"/>
        <family val="2"/>
      </rPr>
      <t>)</t>
    </r>
  </si>
  <si>
    <r>
      <t>Hora Noturna Reduzida (</t>
    </r>
    <r>
      <rPr>
        <b/>
        <sz val="10"/>
        <color rgb="FFFF0000"/>
        <rFont val="Arial"/>
        <family val="2"/>
      </rPr>
      <t>Cláusula 11ª, Parágrafo Único, da CCT</t>
    </r>
    <r>
      <rPr>
        <b/>
        <sz val="10"/>
        <color rgb="FF000000"/>
        <rFont val="Arial"/>
        <family val="2"/>
      </rPr>
      <t>)</t>
    </r>
  </si>
  <si>
    <r>
      <t>Vale Refeição/Alimentação (</t>
    </r>
    <r>
      <rPr>
        <b/>
        <sz val="10"/>
        <color rgb="FFFF0000"/>
        <rFont val="Arial"/>
        <family val="2"/>
      </rPr>
      <t>Clausúla 15ª, da CCT</t>
    </r>
    <r>
      <rPr>
        <b/>
        <sz val="10"/>
        <color rgb="FF000000"/>
        <rFont val="Arial"/>
        <family val="2"/>
      </rPr>
      <t>)</t>
    </r>
  </si>
  <si>
    <t>Vigilante 44h/semanal, diurno - DRF/Teresina/PI</t>
  </si>
  <si>
    <t>Vigilante 44h/semanal, diurno - ARF/Parnaíba/PI</t>
  </si>
  <si>
    <t>Vigilante 44h/semanal, diurno - ARF/Floriano/PI</t>
  </si>
  <si>
    <t>Vigilante 12h x 36h, diurno - DMA/DRF/Teresina/PI</t>
  </si>
  <si>
    <t>Vigilante 12h x 36h, noturno - DMA/DRF/Teresina/PI</t>
  </si>
  <si>
    <r>
      <t>Adicional de Periculosidade (</t>
    </r>
    <r>
      <rPr>
        <b/>
        <sz val="10"/>
        <color rgb="FFFF0000"/>
        <rFont val="Arial"/>
        <family val="2"/>
      </rPr>
      <t>Cláusula 13ª, da CCT</t>
    </r>
    <r>
      <rPr>
        <b/>
        <sz val="10"/>
        <color rgb="FF000000"/>
        <rFont val="Arial"/>
        <family val="2"/>
        <charset val="1"/>
      </rPr>
      <t>)</t>
    </r>
  </si>
  <si>
    <r>
      <t>Adicional Noturno (</t>
    </r>
    <r>
      <rPr>
        <b/>
        <sz val="10"/>
        <color rgb="FFFF0000"/>
        <rFont val="Arial"/>
        <family val="2"/>
      </rPr>
      <t>Cláusula 12ª, da CCT</t>
    </r>
    <r>
      <rPr>
        <b/>
        <sz val="10"/>
        <color rgb="FF000000"/>
        <rFont val="Arial"/>
        <family val="2"/>
      </rPr>
      <t>)</t>
    </r>
  </si>
  <si>
    <t xml:space="preserve">Valor da hora do adicional noturno (c/ peri.) = valor hora x 30% </t>
  </si>
  <si>
    <r>
      <t>Intrajornada (</t>
    </r>
    <r>
      <rPr>
        <b/>
        <sz val="10"/>
        <color rgb="FFFF0000"/>
        <rFont val="Arial"/>
        <family val="2"/>
      </rPr>
      <t>Cláusula 34ª, § 5ª, da CCT</t>
    </r>
    <r>
      <rPr>
        <b/>
        <sz val="10"/>
        <color rgb="FF000000"/>
        <rFont val="Arial"/>
        <family val="2"/>
      </rPr>
      <t>)</t>
    </r>
  </si>
  <si>
    <t>Valor Unitário (R$)</t>
  </si>
  <si>
    <t>QUANTIDADE DE VIGILANTES</t>
  </si>
  <si>
    <t>Processo:</t>
  </si>
  <si>
    <t>Pregão de Licitação:</t>
  </si>
  <si>
    <t>Data do Pregão:</t>
  </si>
  <si>
    <t>Contrato:</t>
  </si>
  <si>
    <t>Vigência do Acordo/CCT:</t>
  </si>
  <si>
    <t>01/01/2025 a 31/12/2025</t>
  </si>
  <si>
    <t>Categoria Profissional:</t>
  </si>
  <si>
    <t>Tipo de Serviços:</t>
  </si>
  <si>
    <t>Período do Contrato:</t>
  </si>
  <si>
    <t>Unidade de Medida:</t>
  </si>
  <si>
    <t>Posto de Serviço</t>
  </si>
  <si>
    <t>Objeto da Contratação:</t>
  </si>
  <si>
    <t>Vigência do Contrato:</t>
  </si>
  <si>
    <t>******</t>
  </si>
  <si>
    <t>Acordo/CCT (Registrado no MTE)</t>
  </si>
  <si>
    <t>Vigilância e segurança armada</t>
  </si>
  <si>
    <t>Data Base da Categoria: Vigilante</t>
  </si>
  <si>
    <t>Salário normativa da categoria – Vigilante (regime de trabalho de 44h/semanal)</t>
  </si>
  <si>
    <t>Salário normativa da categoria – Vigilante (regime de trabalho de 12h x 36h)</t>
  </si>
  <si>
    <t>DADOS INICIAIS</t>
  </si>
  <si>
    <t>CBO:</t>
  </si>
  <si>
    <t>Adicional de Periculosidade</t>
  </si>
  <si>
    <t>INSS (se for optante pelo simples, informe os encargos sociais, exceto FGTS)</t>
  </si>
  <si>
    <t>RAT</t>
  </si>
  <si>
    <t>Submódulo 2.3 –  Informe os seguintes dados:</t>
  </si>
  <si>
    <t>Participação do empregado sobre o auxílio-alimentação</t>
  </si>
  <si>
    <t>Módulo 2 – Informe os seguintes dados:</t>
  </si>
  <si>
    <t>PIS</t>
  </si>
  <si>
    <t>ISS (Lei Complementar (Floriano/PI) nº 02/2005)</t>
  </si>
  <si>
    <t>ISS (Lei Complementar Municipal (Parnaíba/PI) nº 2.210/2005)</t>
  </si>
  <si>
    <t xml:space="preserve">Serviços de vigilância orgância armada, de natureza continuada, com dedicação exclusiva de mão de obra, para atender demanda das unidades da Receita Federal do Brasil (DRF/TSA/PI, ARF/PBA/PI e ARF/FLO/PI)  </t>
  </si>
  <si>
    <t>*****</t>
  </si>
  <si>
    <t>****</t>
  </si>
  <si>
    <t xml:space="preserve">Cofins </t>
  </si>
  <si>
    <t>Valor da passagem (unitário): Teresina/PI</t>
  </si>
  <si>
    <t>Data da apresentação da proposta:</t>
  </si>
  <si>
    <t>FAP</t>
  </si>
  <si>
    <t>Percentual (%) ou (Número)</t>
  </si>
  <si>
    <t>ISS (Lei Complementar (Teresina/PI) nº 4.974/2016)</t>
  </si>
  <si>
    <t>Módulo 1 - Informe os seguintes dados:</t>
  </si>
  <si>
    <t>B.3</t>
  </si>
  <si>
    <t>C.1, a</t>
  </si>
  <si>
    <t>C.1, b</t>
  </si>
  <si>
    <t>C.3, a</t>
  </si>
  <si>
    <t>Valor do vale refeição/alimentação, por dia trabalhado</t>
  </si>
  <si>
    <t>Submódulo 5.1 – Uniformes (12 meses)</t>
  </si>
  <si>
    <t>Período para uso</t>
  </si>
  <si>
    <t>Submódulo 5.2 – Materiais e Equipamentos</t>
  </si>
  <si>
    <t>VALOR GLOBAL (24 meses)</t>
  </si>
  <si>
    <t>GRUPO 1 - QUADRO RESUMO - POSTOS DAS UNIDADES VINCULADAS À DRF/TERESINA/PI</t>
  </si>
  <si>
    <t>GRUPO</t>
  </si>
  <si>
    <t>13º salário do substituto na cobertura de Intervalo para repouso ou alimentação</t>
  </si>
  <si>
    <t>Adicional de férias do substituto na cobertura de Intervalo para repouso ou alimentação</t>
  </si>
  <si>
    <t>Incidência do submódulo 2.2 sobre as letras "A" a "C" do submódulo 4.2</t>
  </si>
  <si>
    <t>Valor da hora extra noturna com 60% = valor da hora noturna + 60%</t>
  </si>
  <si>
    <t>5173-30</t>
  </si>
  <si>
    <r>
      <t>Data do Pregão:</t>
    </r>
    <r>
      <rPr>
        <sz val="10"/>
        <color rgb="FF000000"/>
        <rFont val="Arial"/>
        <family val="2"/>
        <charset val="1"/>
      </rPr>
      <t xml:space="preserve"> </t>
    </r>
  </si>
  <si>
    <t>170040/90001/2026</t>
  </si>
  <si>
    <t>Valor da passagem (unitário): Parnaíba/PI</t>
  </si>
  <si>
    <t>Valor da passagem (unitário): Floriano/PI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</si>
</sst>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-416]\ #,##0.00;[Red]\-[$R$-416]\ #,##0.00"/>
    <numFmt numFmtId="165" formatCode="d/m/yyyy"/>
    <numFmt numFmtId="166" formatCode="#,##0.00\ ;\(#,##0.00\);\-#\ ;@\ "/>
    <numFmt numFmtId="167" formatCode="&quot;R$ &quot;#,##0.00"/>
    <numFmt numFmtId="168" formatCode="0;[Red]\-0"/>
    <numFmt numFmtId="169" formatCode="0.000%"/>
    <numFmt numFmtId="170" formatCode="_-[$R$-416]\ * #,##0.00_-;\-[$R$-416]\ * #,##0.00_-;_-[$R$-416]\ * \-??_-;_-@_-"/>
    <numFmt numFmtId="171" formatCode="0.0000%"/>
    <numFmt numFmtId="172" formatCode="0.00000%"/>
    <numFmt numFmtId="173" formatCode="dd/mm/yy"/>
    <numFmt numFmtId="174" formatCode="0.0000"/>
    <numFmt numFmtId="175" formatCode="[$R$-416]\ #,##0.00"/>
    <numFmt numFmtId="176" formatCode="_-[$R$-416]\ * #,##0.00_-;\-[$R$-416]\ * #,##0.00_-;_-[$R$-416]\ * &quot;-&quot;??_-;_-@_-"/>
    <numFmt numFmtId="177" formatCode="0.0%"/>
    <numFmt numFmtId="178" formatCode="#,##0.0000\ ;\(#,##0.0000\);\-#.00\ ;@\ "/>
  </numFmts>
  <fonts count="44" x14ac:knownFonts="1">
    <font>
      <sz val="11"/>
      <color rgb="FF000000"/>
      <name val="Arial"/>
      <charset val="1"/>
    </font>
    <font>
      <sz val="10"/>
      <name val="Arial"/>
      <family val="2"/>
    </font>
    <font>
      <sz val="11"/>
      <color rgb="FF000000"/>
      <name val="Arial"/>
      <family val="2"/>
      <charset val="1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6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15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9"/>
      <color rgb="FF000000"/>
      <name val="Arial"/>
      <family val="2"/>
      <charset val="1"/>
    </font>
    <font>
      <b/>
      <sz val="11"/>
      <color rgb="FF0000FF"/>
      <name val="Arial"/>
      <family val="2"/>
      <charset val="1"/>
    </font>
    <font>
      <b/>
      <strike/>
      <sz val="10"/>
      <color rgb="FF0099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Arial"/>
      <family val="2"/>
      <charset val="1"/>
    </font>
    <font>
      <sz val="9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trike/>
      <sz val="11"/>
      <color rgb="FF009900"/>
      <name val="Calibri"/>
      <family val="2"/>
      <charset val="1"/>
    </font>
    <font>
      <b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b/>
      <sz val="11"/>
      <color rgb="FFFFFFFF"/>
      <name val="Calibri"/>
      <family val="2"/>
      <charset val="1"/>
    </font>
    <font>
      <b/>
      <sz val="10"/>
      <color theme="1"/>
      <name val="Arial"/>
      <family val="2"/>
      <charset val="1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rgb="FF0000FF"/>
      <name val="Arial"/>
      <family val="2"/>
    </font>
    <font>
      <b/>
      <strike/>
      <sz val="10"/>
      <color rgb="FF009900"/>
      <name val="Arial"/>
      <family val="2"/>
    </font>
    <font>
      <b/>
      <sz val="10"/>
      <color rgb="FFFF0000"/>
      <name val="Arial"/>
      <family val="2"/>
    </font>
    <font>
      <sz val="11"/>
      <color rgb="FF000000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sz val="10"/>
      <color rgb="FF000000"/>
      <name val="Calibri"/>
      <family val="2"/>
    </font>
    <font>
      <b/>
      <sz val="9"/>
      <color indexed="81"/>
      <name val="Segoe U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b/>
      <sz val="9"/>
      <color rgb="FF00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EEEEEE"/>
        <bgColor rgb="FFE2F0D9"/>
      </patternFill>
    </fill>
    <fill>
      <patternFill patternType="solid">
        <fgColor rgb="FF999999"/>
        <bgColor rgb="FFB2B2B2"/>
      </patternFill>
    </fill>
    <fill>
      <patternFill patternType="solid">
        <fgColor rgb="FFDDDDDD"/>
        <bgColor rgb="FFE2F0D9"/>
      </patternFill>
    </fill>
    <fill>
      <patternFill patternType="solid">
        <fgColor rgb="FF548235"/>
        <bgColor rgb="FF669966"/>
      </patternFill>
    </fill>
    <fill>
      <patternFill patternType="solid">
        <fgColor rgb="FF99CC99"/>
        <bgColor rgb="FFB2B2B2"/>
      </patternFill>
    </fill>
    <fill>
      <patternFill patternType="solid">
        <fgColor rgb="FF336633"/>
        <bgColor rgb="FF548235"/>
      </patternFill>
    </fill>
    <fill>
      <patternFill patternType="solid">
        <fgColor rgb="FFFFFFFF"/>
        <bgColor rgb="FFEEEEEE"/>
      </patternFill>
    </fill>
    <fill>
      <patternFill patternType="solid">
        <fgColor rgb="FFE2F0D9"/>
        <bgColor rgb="FFEEEEEE"/>
      </patternFill>
    </fill>
    <fill>
      <patternFill patternType="solid">
        <fgColor rgb="FF669966"/>
        <bgColor rgb="FF548235"/>
      </patternFill>
    </fill>
    <fill>
      <patternFill patternType="solid">
        <fgColor rgb="FFB2B2B2"/>
        <bgColor rgb="FF999999"/>
      </patternFill>
    </fill>
    <fill>
      <patternFill patternType="solid">
        <fgColor rgb="FFCCCCCC"/>
        <bgColor rgb="FFDDDDDD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rgb="FFB2B2B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5">
    <xf numFmtId="0" fontId="0" fillId="0" borderId="0"/>
    <xf numFmtId="166" fontId="8" fillId="0" borderId="0" applyBorder="0" applyProtection="0"/>
    <xf numFmtId="166" fontId="8" fillId="0" borderId="0" applyBorder="0" applyProtection="0"/>
    <xf numFmtId="0" fontId="2" fillId="0" borderId="0"/>
    <xf numFmtId="9" fontId="35" fillId="0" borderId="0" applyFont="0" applyFill="0" applyBorder="0" applyAlignment="0" applyProtection="0"/>
  </cellStyleXfs>
  <cellXfs count="629">
    <xf numFmtId="0" fontId="0" fillId="0" borderId="0" xfId="0"/>
    <xf numFmtId="0" fontId="4" fillId="0" borderId="0" xfId="0" applyFont="1"/>
    <xf numFmtId="0" fontId="6" fillId="0" borderId="0" xfId="0" applyFont="1"/>
    <xf numFmtId="0" fontId="7" fillId="0" borderId="3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0" fontId="6" fillId="0" borderId="0" xfId="1" applyNumberFormat="1" applyFont="1" applyBorder="1" applyAlignment="1" applyProtection="1">
      <alignment horizontal="center" vertical="center"/>
    </xf>
    <xf numFmtId="166" fontId="6" fillId="0" borderId="0" xfId="2" applyFont="1" applyBorder="1" applyAlignment="1" applyProtection="1">
      <alignment vertical="center"/>
    </xf>
    <xf numFmtId="0" fontId="7" fillId="0" borderId="0" xfId="0" applyFont="1" applyAlignment="1">
      <alignment horizontal="center" vertical="center" wrapText="1"/>
    </xf>
    <xf numFmtId="10" fontId="7" fillId="0" borderId="3" xfId="0" applyNumberFormat="1" applyFont="1" applyBorder="1" applyAlignment="1">
      <alignment horizontal="center" vertical="center" wrapText="1"/>
    </xf>
    <xf numFmtId="164" fontId="6" fillId="0" borderId="0" xfId="0" applyNumberFormat="1" applyFont="1"/>
    <xf numFmtId="0" fontId="12" fillId="0" borderId="3" xfId="0" applyFont="1" applyBorder="1" applyAlignment="1">
      <alignment horizontal="left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4" fontId="7" fillId="0" borderId="3" xfId="0" applyNumberFormat="1" applyFont="1" applyBorder="1" applyAlignment="1">
      <alignment vertical="center"/>
    </xf>
    <xf numFmtId="4" fontId="7" fillId="0" borderId="3" xfId="0" applyNumberFormat="1" applyFont="1" applyBorder="1" applyAlignment="1">
      <alignment horizontal="right" vertical="center"/>
    </xf>
    <xf numFmtId="4" fontId="13" fillId="6" borderId="3" xfId="0" applyNumberFormat="1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10" fontId="7" fillId="0" borderId="3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right" vertical="center" wrapText="1"/>
    </xf>
    <xf numFmtId="169" fontId="7" fillId="0" borderId="3" xfId="0" applyNumberFormat="1" applyFont="1" applyBorder="1" applyAlignment="1">
      <alignment horizontal="center" vertical="center"/>
    </xf>
    <xf numFmtId="2" fontId="7" fillId="6" borderId="3" xfId="0" applyNumberFormat="1" applyFont="1" applyFill="1" applyBorder="1" applyAlignment="1">
      <alignment horizontal="right" vertical="center"/>
    </xf>
    <xf numFmtId="0" fontId="13" fillId="6" borderId="5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10" fontId="7" fillId="0" borderId="3" xfId="0" applyNumberFormat="1" applyFont="1" applyBorder="1" applyAlignment="1">
      <alignment horizontal="right" vertical="center"/>
    </xf>
    <xf numFmtId="10" fontId="7" fillId="6" borderId="3" xfId="0" applyNumberFormat="1" applyFont="1" applyFill="1" applyBorder="1" applyAlignment="1">
      <alignment horizontal="right" vertical="center"/>
    </xf>
    <xf numFmtId="4" fontId="7" fillId="6" borderId="3" xfId="0" applyNumberFormat="1" applyFont="1" applyFill="1" applyBorder="1" applyAlignment="1">
      <alignment horizontal="right" vertical="center"/>
    </xf>
    <xf numFmtId="0" fontId="7" fillId="7" borderId="5" xfId="0" applyFont="1" applyFill="1" applyBorder="1" applyAlignment="1">
      <alignment horizontal="right" vertical="center"/>
    </xf>
    <xf numFmtId="0" fontId="0" fillId="7" borderId="6" xfId="0" applyFill="1" applyBorder="1" applyAlignment="1">
      <alignment horizontal="right" vertical="center"/>
    </xf>
    <xf numFmtId="10" fontId="7" fillId="7" borderId="6" xfId="0" applyNumberFormat="1" applyFont="1" applyFill="1" applyBorder="1" applyAlignment="1">
      <alignment horizontal="right" vertical="center"/>
    </xf>
    <xf numFmtId="4" fontId="7" fillId="7" borderId="7" xfId="0" applyNumberFormat="1" applyFont="1" applyFill="1" applyBorder="1" applyAlignment="1">
      <alignment horizontal="right" vertical="center"/>
    </xf>
    <xf numFmtId="0" fontId="13" fillId="6" borderId="3" xfId="0" applyFont="1" applyFill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right" vertical="center" wrapText="1"/>
    </xf>
    <xf numFmtId="0" fontId="8" fillId="6" borderId="3" xfId="0" applyFont="1" applyFill="1" applyBorder="1" applyAlignment="1">
      <alignment horizontal="center" vertical="center"/>
    </xf>
    <xf numFmtId="4" fontId="7" fillId="6" borderId="3" xfId="0" applyNumberFormat="1" applyFont="1" applyFill="1" applyBorder="1" applyAlignment="1">
      <alignment horizontal="right" vertical="center" wrapText="1"/>
    </xf>
    <xf numFmtId="4" fontId="6" fillId="0" borderId="0" xfId="0" applyNumberFormat="1" applyFont="1"/>
    <xf numFmtId="0" fontId="14" fillId="6" borderId="3" xfId="0" applyFont="1" applyFill="1" applyBorder="1" applyAlignment="1">
      <alignment horizontal="center" vertical="center"/>
    </xf>
    <xf numFmtId="171" fontId="0" fillId="0" borderId="0" xfId="0" applyNumberFormat="1"/>
    <xf numFmtId="10" fontId="7" fillId="0" borderId="3" xfId="0" applyNumberFormat="1" applyFont="1" applyBorder="1" applyAlignment="1">
      <alignment vertical="center"/>
    </xf>
    <xf numFmtId="172" fontId="0" fillId="0" borderId="0" xfId="0" applyNumberFormat="1"/>
    <xf numFmtId="10" fontId="0" fillId="0" borderId="0" xfId="0" applyNumberFormat="1"/>
    <xf numFmtId="0" fontId="13" fillId="9" borderId="3" xfId="0" applyFont="1" applyFill="1" applyBorder="1" applyAlignment="1">
      <alignment horizontal="right" vertical="center"/>
    </xf>
    <xf numFmtId="166" fontId="13" fillId="9" borderId="3" xfId="1" applyFont="1" applyFill="1" applyBorder="1" applyAlignment="1" applyProtection="1">
      <alignment vertical="center"/>
    </xf>
    <xf numFmtId="0" fontId="13" fillId="9" borderId="3" xfId="0" applyFont="1" applyFill="1" applyBorder="1" applyAlignment="1">
      <alignment horizontal="right" vertical="center" wrapText="1"/>
    </xf>
    <xf numFmtId="4" fontId="13" fillId="9" borderId="3" xfId="0" applyNumberFormat="1" applyFont="1" applyFill="1" applyBorder="1" applyAlignment="1">
      <alignment horizontal="left" vertical="center"/>
    </xf>
    <xf numFmtId="4" fontId="13" fillId="6" borderId="3" xfId="0" applyNumberFormat="1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/>
    </xf>
    <xf numFmtId="0" fontId="13" fillId="6" borderId="3" xfId="0" applyFont="1" applyFill="1" applyBorder="1" applyAlignment="1">
      <alignment horizontal="center"/>
    </xf>
    <xf numFmtId="169" fontId="7" fillId="0" borderId="3" xfId="0" applyNumberFormat="1" applyFont="1" applyBorder="1" applyAlignment="1">
      <alignment vertical="center" wrapText="1"/>
    </xf>
    <xf numFmtId="170" fontId="6" fillId="0" borderId="0" xfId="0" applyNumberFormat="1" applyFont="1"/>
    <xf numFmtId="0" fontId="7" fillId="0" borderId="4" xfId="0" applyFont="1" applyBorder="1" applyAlignment="1">
      <alignment horizontal="center" vertical="center"/>
    </xf>
    <xf numFmtId="169" fontId="6" fillId="0" borderId="0" xfId="0" applyNumberFormat="1" applyFont="1"/>
    <xf numFmtId="4" fontId="7" fillId="6" borderId="3" xfId="0" applyNumberFormat="1" applyFont="1" applyFill="1" applyBorder="1" applyAlignment="1">
      <alignment horizontal="right"/>
    </xf>
    <xf numFmtId="0" fontId="17" fillId="7" borderId="5" xfId="0" applyFont="1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4" fontId="13" fillId="6" borderId="3" xfId="0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3" fontId="7" fillId="6" borderId="3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20" fillId="0" borderId="1" xfId="0" applyFont="1" applyBorder="1" applyAlignment="1">
      <alignment horizontal="center" vertical="center" wrapText="1"/>
    </xf>
    <xf numFmtId="0" fontId="20" fillId="11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12" borderId="1" xfId="0" applyFont="1" applyFill="1" applyBorder="1" applyAlignment="1">
      <alignment horizontal="center" vertical="center" wrapText="1"/>
    </xf>
    <xf numFmtId="164" fontId="20" fillId="0" borderId="1" xfId="0" applyNumberFormat="1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0" fontId="20" fillId="2" borderId="1" xfId="0" applyFont="1" applyFill="1" applyBorder="1" applyAlignment="1">
      <alignment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10" fontId="20" fillId="0" borderId="1" xfId="0" applyNumberFormat="1" applyFont="1" applyBorder="1" applyAlignment="1">
      <alignment horizontal="center" vertical="center"/>
    </xf>
    <xf numFmtId="2" fontId="20" fillId="0" borderId="1" xfId="0" applyNumberFormat="1" applyFont="1" applyBorder="1" applyAlignment="1">
      <alignment horizontal="right" vertical="center"/>
    </xf>
    <xf numFmtId="169" fontId="20" fillId="0" borderId="1" xfId="0" applyNumberFormat="1" applyFont="1" applyBorder="1" applyAlignment="1">
      <alignment horizontal="center" vertical="center"/>
    </xf>
    <xf numFmtId="2" fontId="20" fillId="2" borderId="1" xfId="0" applyNumberFormat="1" applyFont="1" applyFill="1" applyBorder="1" applyAlignment="1">
      <alignment horizontal="right" vertical="center"/>
    </xf>
    <xf numFmtId="4" fontId="20" fillId="0" borderId="1" xfId="0" applyNumberFormat="1" applyFont="1" applyBorder="1" applyAlignment="1">
      <alignment horizontal="right" vertical="center"/>
    </xf>
    <xf numFmtId="0" fontId="18" fillId="0" borderId="0" xfId="0" applyFont="1"/>
    <xf numFmtId="4" fontId="20" fillId="2" borderId="1" xfId="0" applyNumberFormat="1" applyFont="1" applyFill="1" applyBorder="1" applyAlignment="1">
      <alignment horizontal="right" vertical="center"/>
    </xf>
    <xf numFmtId="10" fontId="20" fillId="0" borderId="1" xfId="0" applyNumberFormat="1" applyFont="1" applyBorder="1" applyAlignment="1">
      <alignment horizontal="right" vertical="center"/>
    </xf>
    <xf numFmtId="9" fontId="20" fillId="0" borderId="1" xfId="0" applyNumberFormat="1" applyFont="1" applyBorder="1" applyAlignment="1">
      <alignment horizontal="center" vertical="center" wrapText="1"/>
    </xf>
    <xf numFmtId="174" fontId="20" fillId="0" borderId="1" xfId="0" applyNumberFormat="1" applyFont="1" applyBorder="1" applyAlignment="1">
      <alignment horizontal="center" vertical="center" wrapText="1"/>
    </xf>
    <xf numFmtId="171" fontId="20" fillId="0" borderId="1" xfId="0" applyNumberFormat="1" applyFont="1" applyBorder="1" applyAlignment="1">
      <alignment horizontal="right" vertical="center"/>
    </xf>
    <xf numFmtId="171" fontId="20" fillId="2" borderId="1" xfId="0" applyNumberFormat="1" applyFont="1" applyFill="1" applyBorder="1" applyAlignment="1">
      <alignment horizontal="right" vertical="center"/>
    </xf>
    <xf numFmtId="167" fontId="20" fillId="0" borderId="1" xfId="0" applyNumberFormat="1" applyFont="1" applyBorder="1" applyAlignment="1">
      <alignment vertical="center"/>
    </xf>
    <xf numFmtId="4" fontId="20" fillId="0" borderId="1" xfId="0" applyNumberFormat="1" applyFont="1" applyBorder="1" applyAlignment="1">
      <alignment horizontal="center" vertical="center"/>
    </xf>
    <xf numFmtId="4" fontId="20" fillId="0" borderId="1" xfId="0" applyNumberFormat="1" applyFont="1" applyBorder="1" applyAlignment="1">
      <alignment vertical="center"/>
    </xf>
    <xf numFmtId="3" fontId="20" fillId="0" borderId="1" xfId="0" applyNumberFormat="1" applyFont="1" applyBorder="1" applyAlignment="1">
      <alignment vertical="center"/>
    </xf>
    <xf numFmtId="4" fontId="20" fillId="0" borderId="1" xfId="0" applyNumberFormat="1" applyFont="1" applyBorder="1" applyAlignment="1">
      <alignment horizontal="right" vertical="center" wrapText="1"/>
    </xf>
    <xf numFmtId="2" fontId="20" fillId="0" borderId="1" xfId="0" applyNumberFormat="1" applyFont="1" applyBorder="1" applyAlignment="1">
      <alignment horizontal="right" vertical="center" wrapText="1"/>
    </xf>
    <xf numFmtId="2" fontId="20" fillId="2" borderId="1" xfId="0" applyNumberFormat="1" applyFont="1" applyFill="1" applyBorder="1" applyAlignment="1">
      <alignment horizontal="right" vertical="center" wrapText="1"/>
    </xf>
    <xf numFmtId="0" fontId="20" fillId="12" borderId="1" xfId="0" applyFont="1" applyFill="1" applyBorder="1" applyAlignment="1">
      <alignment horizontal="center" vertical="center"/>
    </xf>
    <xf numFmtId="9" fontId="18" fillId="0" borderId="0" xfId="0" applyNumberFormat="1" applyFont="1" applyAlignment="1">
      <alignment vertical="center"/>
    </xf>
    <xf numFmtId="10" fontId="20" fillId="0" borderId="1" xfId="0" applyNumberFormat="1" applyFont="1" applyBorder="1" applyAlignment="1">
      <alignment horizontal="center" vertical="center" wrapText="1"/>
    </xf>
    <xf numFmtId="4" fontId="20" fillId="2" borderId="1" xfId="0" applyNumberFormat="1" applyFont="1" applyFill="1" applyBorder="1" applyAlignment="1">
      <alignment horizontal="right" vertical="center" wrapText="1"/>
    </xf>
    <xf numFmtId="0" fontId="20" fillId="3" borderId="1" xfId="0" applyFont="1" applyFill="1" applyBorder="1" applyAlignment="1">
      <alignment horizontal="center" vertical="center" wrapText="1"/>
    </xf>
    <xf numFmtId="4" fontId="20" fillId="4" borderId="1" xfId="0" applyNumberFormat="1" applyFont="1" applyFill="1" applyBorder="1" applyAlignment="1">
      <alignment horizontal="center" vertical="center"/>
    </xf>
    <xf numFmtId="4" fontId="20" fillId="12" borderId="1" xfId="0" applyNumberFormat="1" applyFont="1" applyFill="1" applyBorder="1" applyAlignment="1">
      <alignment horizontal="center" vertical="center"/>
    </xf>
    <xf numFmtId="4" fontId="18" fillId="0" borderId="0" xfId="0" applyNumberFormat="1" applyFont="1" applyAlignment="1">
      <alignment vertical="center"/>
    </xf>
    <xf numFmtId="10" fontId="20" fillId="0" borderId="10" xfId="0" applyNumberFormat="1" applyFont="1" applyBorder="1" applyAlignment="1">
      <alignment vertical="center"/>
    </xf>
    <xf numFmtId="4" fontId="20" fillId="12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10" fontId="23" fillId="0" borderId="1" xfId="0" applyNumberFormat="1" applyFont="1" applyBorder="1" applyAlignment="1">
      <alignment horizontal="center" vertical="center"/>
    </xf>
    <xf numFmtId="10" fontId="20" fillId="0" borderId="1" xfId="0" applyNumberFormat="1" applyFont="1" applyBorder="1" applyAlignment="1">
      <alignment horizontal="right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4" fontId="20" fillId="13" borderId="1" xfId="0" applyNumberFormat="1" applyFont="1" applyFill="1" applyBorder="1" applyAlignment="1">
      <alignment horizontal="right" vertical="center" wrapText="1"/>
    </xf>
    <xf numFmtId="4" fontId="20" fillId="2" borderId="1" xfId="0" applyNumberFormat="1" applyFont="1" applyFill="1" applyBorder="1" applyAlignment="1">
      <alignment vertical="center"/>
    </xf>
    <xf numFmtId="0" fontId="20" fillId="0" borderId="1" xfId="0" applyFont="1" applyBorder="1" applyAlignment="1">
      <alignment horizontal="right" vertical="center"/>
    </xf>
    <xf numFmtId="0" fontId="24" fillId="0" borderId="1" xfId="0" applyFont="1" applyBorder="1" applyAlignment="1">
      <alignment horizontal="center" vertical="center"/>
    </xf>
    <xf numFmtId="0" fontId="18" fillId="8" borderId="0" xfId="0" applyFont="1" applyFill="1" applyAlignment="1">
      <alignment vertical="center"/>
    </xf>
    <xf numFmtId="0" fontId="18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/>
    </xf>
    <xf numFmtId="0" fontId="20" fillId="8" borderId="12" xfId="0" applyFont="1" applyFill="1" applyBorder="1" applyAlignment="1">
      <alignment horizontal="right" vertical="center"/>
    </xf>
    <xf numFmtId="0" fontId="18" fillId="8" borderId="13" xfId="0" applyFont="1" applyFill="1" applyBorder="1" applyAlignment="1">
      <alignment horizontal="right" vertical="center"/>
    </xf>
    <xf numFmtId="10" fontId="20" fillId="8" borderId="13" xfId="0" applyNumberFormat="1" applyFont="1" applyFill="1" applyBorder="1" applyAlignment="1">
      <alignment horizontal="right" vertical="center"/>
    </xf>
    <xf numFmtId="4" fontId="20" fillId="8" borderId="14" xfId="0" applyNumberFormat="1" applyFont="1" applyFill="1" applyBorder="1" applyAlignment="1">
      <alignment horizontal="right" vertical="center"/>
    </xf>
    <xf numFmtId="10" fontId="20" fillId="0" borderId="12" xfId="0" applyNumberFormat="1" applyFont="1" applyBorder="1" applyAlignment="1">
      <alignment vertical="center"/>
    </xf>
    <xf numFmtId="4" fontId="20" fillId="0" borderId="1" xfId="0" applyNumberFormat="1" applyFont="1" applyBorder="1" applyAlignment="1" applyProtection="1">
      <alignment horizontal="right" vertical="center"/>
      <protection locked="0"/>
    </xf>
    <xf numFmtId="0" fontId="18" fillId="0" borderId="1" xfId="0" applyFont="1" applyBorder="1" applyAlignment="1">
      <alignment vertical="center"/>
    </xf>
    <xf numFmtId="4" fontId="20" fillId="4" borderId="1" xfId="0" applyNumberFormat="1" applyFont="1" applyFill="1" applyBorder="1" applyAlignment="1">
      <alignment horizontal="right" vertical="center" wrapText="1"/>
    </xf>
    <xf numFmtId="49" fontId="20" fillId="0" borderId="12" xfId="0" applyNumberFormat="1" applyFont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0" fontId="18" fillId="8" borderId="0" xfId="0" applyFont="1" applyFill="1"/>
    <xf numFmtId="0" fontId="20" fillId="0" borderId="1" xfId="0" applyFont="1" applyBorder="1" applyAlignment="1">
      <alignment horizontal="center"/>
    </xf>
    <xf numFmtId="0" fontId="18" fillId="0" borderId="0" xfId="0" applyFont="1" applyAlignment="1">
      <alignment horizontal="left"/>
    </xf>
    <xf numFmtId="171" fontId="20" fillId="0" borderId="1" xfId="0" applyNumberFormat="1" applyFont="1" applyBorder="1" applyAlignment="1">
      <alignment horizontal="center" vertical="center"/>
    </xf>
    <xf numFmtId="4" fontId="20" fillId="0" borderId="1" xfId="0" applyNumberFormat="1" applyFont="1" applyBorder="1"/>
    <xf numFmtId="4" fontId="20" fillId="0" borderId="1" xfId="0" applyNumberFormat="1" applyFont="1" applyBorder="1" applyAlignment="1">
      <alignment horizontal="right"/>
    </xf>
    <xf numFmtId="4" fontId="20" fillId="11" borderId="1" xfId="0" applyNumberFormat="1" applyFont="1" applyFill="1" applyBorder="1" applyAlignment="1">
      <alignment horizontal="center" vertical="center"/>
    </xf>
    <xf numFmtId="10" fontId="20" fillId="0" borderId="1" xfId="0" applyNumberFormat="1" applyFont="1" applyBorder="1" applyAlignment="1">
      <alignment horizontal="center" wrapText="1"/>
    </xf>
    <xf numFmtId="4" fontId="20" fillId="0" borderId="1" xfId="0" applyNumberFormat="1" applyFont="1" applyBorder="1" applyAlignment="1">
      <alignment horizontal="center"/>
    </xf>
    <xf numFmtId="0" fontId="7" fillId="15" borderId="3" xfId="0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30" fillId="0" borderId="0" xfId="0" applyFont="1"/>
    <xf numFmtId="0" fontId="29" fillId="0" borderId="3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6" borderId="4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/>
    </xf>
    <xf numFmtId="9" fontId="29" fillId="0" borderId="3" xfId="0" applyNumberFormat="1" applyFont="1" applyBorder="1" applyAlignment="1">
      <alignment vertical="center" wrapText="1"/>
    </xf>
    <xf numFmtId="4" fontId="29" fillId="0" borderId="3" xfId="0" applyNumberFormat="1" applyFont="1" applyBorder="1" applyAlignment="1">
      <alignment vertical="center"/>
    </xf>
    <xf numFmtId="4" fontId="29" fillId="0" borderId="3" xfId="0" applyNumberFormat="1" applyFont="1" applyBorder="1" applyAlignment="1">
      <alignment horizontal="right" vertical="center"/>
    </xf>
    <xf numFmtId="4" fontId="29" fillId="6" borderId="3" xfId="0" applyNumberFormat="1" applyFont="1" applyFill="1" applyBorder="1" applyAlignment="1">
      <alignment vertical="center"/>
    </xf>
    <xf numFmtId="0" fontId="29" fillId="0" borderId="3" xfId="0" applyFont="1" applyBorder="1" applyAlignment="1">
      <alignment horizontal="center" vertical="center"/>
    </xf>
    <xf numFmtId="10" fontId="29" fillId="0" borderId="3" xfId="0" applyNumberFormat="1" applyFont="1" applyBorder="1" applyAlignment="1">
      <alignment horizontal="center" vertical="center"/>
    </xf>
    <xf numFmtId="169" fontId="29" fillId="0" borderId="3" xfId="0" applyNumberFormat="1" applyFont="1" applyBorder="1" applyAlignment="1">
      <alignment horizontal="center" vertical="center"/>
    </xf>
    <xf numFmtId="2" fontId="29" fillId="6" borderId="3" xfId="0" applyNumberFormat="1" applyFont="1" applyFill="1" applyBorder="1" applyAlignment="1">
      <alignment horizontal="right" vertical="center"/>
    </xf>
    <xf numFmtId="0" fontId="29" fillId="6" borderId="5" xfId="0" applyFont="1" applyFill="1" applyBorder="1" applyAlignment="1">
      <alignment horizontal="center" vertical="center"/>
    </xf>
    <xf numFmtId="0" fontId="29" fillId="6" borderId="3" xfId="0" applyFont="1" applyFill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10" fontId="29" fillId="0" borderId="3" xfId="0" applyNumberFormat="1" applyFont="1" applyBorder="1" applyAlignment="1">
      <alignment horizontal="right" vertical="center"/>
    </xf>
    <xf numFmtId="10" fontId="29" fillId="6" borderId="3" xfId="0" applyNumberFormat="1" applyFont="1" applyFill="1" applyBorder="1" applyAlignment="1">
      <alignment horizontal="right" vertical="center"/>
    </xf>
    <xf numFmtId="4" fontId="29" fillId="6" borderId="3" xfId="0" applyNumberFormat="1" applyFont="1" applyFill="1" applyBorder="1" applyAlignment="1">
      <alignment horizontal="right" vertical="center"/>
    </xf>
    <xf numFmtId="0" fontId="29" fillId="7" borderId="5" xfId="0" applyFont="1" applyFill="1" applyBorder="1" applyAlignment="1">
      <alignment horizontal="right" vertical="center"/>
    </xf>
    <xf numFmtId="0" fontId="30" fillId="7" borderId="6" xfId="0" applyFont="1" applyFill="1" applyBorder="1" applyAlignment="1">
      <alignment horizontal="right" vertical="center"/>
    </xf>
    <xf numFmtId="10" fontId="29" fillId="7" borderId="6" xfId="0" applyNumberFormat="1" applyFont="1" applyFill="1" applyBorder="1" applyAlignment="1">
      <alignment horizontal="right" vertical="center"/>
    </xf>
    <xf numFmtId="4" fontId="29" fillId="7" borderId="7" xfId="0" applyNumberFormat="1" applyFont="1" applyFill="1" applyBorder="1" applyAlignment="1">
      <alignment horizontal="right" vertical="center"/>
    </xf>
    <xf numFmtId="0" fontId="29" fillId="6" borderId="3" xfId="0" applyFont="1" applyFill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0" fillId="6" borderId="3" xfId="0" applyFont="1" applyFill="1" applyBorder="1" applyAlignment="1">
      <alignment horizontal="center" vertical="center"/>
    </xf>
    <xf numFmtId="4" fontId="29" fillId="6" borderId="3" xfId="0" applyNumberFormat="1" applyFont="1" applyFill="1" applyBorder="1" applyAlignment="1">
      <alignment horizontal="right" vertical="center" wrapText="1"/>
    </xf>
    <xf numFmtId="0" fontId="29" fillId="9" borderId="3" xfId="0" applyFont="1" applyFill="1" applyBorder="1" applyAlignment="1">
      <alignment horizontal="right" vertical="center"/>
    </xf>
    <xf numFmtId="0" fontId="29" fillId="0" borderId="3" xfId="0" applyFont="1" applyBorder="1" applyAlignment="1">
      <alignment horizontal="left" vertical="center" wrapText="1"/>
    </xf>
    <xf numFmtId="4" fontId="29" fillId="6" borderId="3" xfId="0" applyNumberFormat="1" applyFont="1" applyFill="1" applyBorder="1" applyAlignment="1">
      <alignment horizontal="center" vertical="center"/>
    </xf>
    <xf numFmtId="0" fontId="29" fillId="6" borderId="3" xfId="0" applyFont="1" applyFill="1" applyBorder="1" applyAlignment="1">
      <alignment horizontal="center"/>
    </xf>
    <xf numFmtId="169" fontId="29" fillId="0" borderId="3" xfId="0" applyNumberFormat="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4" fontId="29" fillId="0" borderId="3" xfId="0" applyNumberFormat="1" applyFont="1" applyBorder="1" applyAlignment="1">
      <alignment horizontal="right" vertical="center" wrapText="1"/>
    </xf>
    <xf numFmtId="0" fontId="29" fillId="7" borderId="5" xfId="0" applyFont="1" applyFill="1" applyBorder="1" applyAlignment="1">
      <alignment horizontal="center" vertical="center"/>
    </xf>
    <xf numFmtId="0" fontId="30" fillId="7" borderId="6" xfId="0" applyFont="1" applyFill="1" applyBorder="1" applyAlignment="1">
      <alignment horizontal="center" vertical="center"/>
    </xf>
    <xf numFmtId="0" fontId="30" fillId="7" borderId="7" xfId="0" applyFont="1" applyFill="1" applyBorder="1" applyAlignment="1">
      <alignment horizontal="center" vertical="center"/>
    </xf>
    <xf numFmtId="4" fontId="29" fillId="6" borderId="3" xfId="0" applyNumberFormat="1" applyFont="1" applyFill="1" applyBorder="1" applyAlignment="1">
      <alignment horizontal="center" vertical="center" wrapText="1"/>
    </xf>
    <xf numFmtId="49" fontId="29" fillId="0" borderId="3" xfId="0" applyNumberFormat="1" applyFont="1" applyBorder="1" applyAlignment="1">
      <alignment horizontal="center" vertical="center" wrapText="1"/>
    </xf>
    <xf numFmtId="49" fontId="29" fillId="0" borderId="5" xfId="0" applyNumberFormat="1" applyFont="1" applyBorder="1" applyAlignment="1">
      <alignment horizontal="center" vertical="center" wrapText="1"/>
    </xf>
    <xf numFmtId="3" fontId="29" fillId="6" borderId="3" xfId="0" applyNumberFormat="1" applyFont="1" applyFill="1" applyBorder="1" applyAlignment="1">
      <alignment horizontal="center" vertical="center" wrapText="1"/>
    </xf>
    <xf numFmtId="175" fontId="6" fillId="0" borderId="0" xfId="0" applyNumberFormat="1" applyFont="1"/>
    <xf numFmtId="166" fontId="8" fillId="0" borderId="0" xfId="1" applyProtection="1"/>
    <xf numFmtId="4" fontId="13" fillId="9" borderId="3" xfId="0" applyNumberFormat="1" applyFont="1" applyFill="1" applyBorder="1" applyAlignment="1">
      <alignment horizontal="right" vertical="center"/>
    </xf>
    <xf numFmtId="166" fontId="29" fillId="0" borderId="3" xfId="1" applyFont="1" applyBorder="1" applyProtection="1"/>
    <xf numFmtId="166" fontId="13" fillId="9" borderId="3" xfId="1" applyFont="1" applyFill="1" applyBorder="1" applyAlignment="1" applyProtection="1">
      <alignment horizontal="right" vertical="center"/>
    </xf>
    <xf numFmtId="4" fontId="13" fillId="6" borderId="3" xfId="0" applyNumberFormat="1" applyFont="1" applyFill="1" applyBorder="1" applyAlignment="1">
      <alignment horizontal="right" vertical="center"/>
    </xf>
    <xf numFmtId="0" fontId="29" fillId="9" borderId="3" xfId="0" applyFont="1" applyFill="1" applyBorder="1" applyAlignment="1">
      <alignment horizontal="center" vertical="center" wrapText="1"/>
    </xf>
    <xf numFmtId="4" fontId="29" fillId="9" borderId="3" xfId="0" applyNumberFormat="1" applyFont="1" applyFill="1" applyBorder="1" applyAlignment="1">
      <alignment horizontal="right" vertical="center"/>
    </xf>
    <xf numFmtId="166" fontId="29" fillId="9" borderId="3" xfId="1" applyFont="1" applyFill="1" applyBorder="1" applyAlignment="1" applyProtection="1">
      <alignment horizontal="right" vertical="center"/>
    </xf>
    <xf numFmtId="43" fontId="29" fillId="6" borderId="3" xfId="0" applyNumberFormat="1" applyFont="1" applyFill="1" applyBorder="1" applyAlignment="1">
      <alignment horizontal="center" vertical="center"/>
    </xf>
    <xf numFmtId="10" fontId="29" fillId="0" borderId="4" xfId="0" applyNumberFormat="1" applyFont="1" applyBorder="1" applyAlignment="1">
      <alignment vertical="center" wrapText="1"/>
    </xf>
    <xf numFmtId="43" fontId="29" fillId="6" borderId="3" xfId="0" applyNumberFormat="1" applyFont="1" applyFill="1" applyBorder="1" applyAlignment="1">
      <alignment horizontal="right"/>
    </xf>
    <xf numFmtId="43" fontId="29" fillId="6" borderId="3" xfId="0" applyNumberFormat="1" applyFont="1" applyFill="1" applyBorder="1" applyAlignment="1">
      <alignment horizontal="right" vertical="center" wrapText="1"/>
    </xf>
    <xf numFmtId="10" fontId="7" fillId="0" borderId="4" xfId="0" applyNumberFormat="1" applyFont="1" applyBorder="1" applyAlignment="1">
      <alignment vertical="center" wrapText="1"/>
    </xf>
    <xf numFmtId="9" fontId="6" fillId="0" borderId="0" xfId="0" applyNumberFormat="1" applyFont="1"/>
    <xf numFmtId="0" fontId="0" fillId="0" borderId="0" xfId="0" applyAlignment="1">
      <alignment vertical="center"/>
    </xf>
    <xf numFmtId="164" fontId="0" fillId="0" borderId="0" xfId="0" applyNumberFormat="1"/>
    <xf numFmtId="0" fontId="7" fillId="0" borderId="3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0" fillId="7" borderId="5" xfId="0" applyFont="1" applyFill="1" applyBorder="1" applyAlignment="1"/>
    <xf numFmtId="0" fontId="30" fillId="7" borderId="6" xfId="0" applyFont="1" applyFill="1" applyBorder="1" applyAlignment="1"/>
    <xf numFmtId="9" fontId="7" fillId="0" borderId="3" xfId="0" applyNumberFormat="1" applyFont="1" applyBorder="1" applyAlignment="1">
      <alignment horizontal="center" vertical="center" wrapText="1"/>
    </xf>
    <xf numFmtId="0" fontId="30" fillId="7" borderId="7" xfId="0" applyFont="1" applyFill="1" applyBorder="1" applyAlignment="1"/>
    <xf numFmtId="177" fontId="0" fillId="0" borderId="0" xfId="4" applyNumberFormat="1" applyFont="1"/>
    <xf numFmtId="0" fontId="13" fillId="6" borderId="3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/>
    </xf>
    <xf numFmtId="4" fontId="7" fillId="0" borderId="3" xfId="0" applyNumberFormat="1" applyFont="1" applyFill="1" applyBorder="1" applyAlignment="1">
      <alignment horizontal="right" vertical="center"/>
    </xf>
    <xf numFmtId="10" fontId="7" fillId="0" borderId="3" xfId="0" applyNumberFormat="1" applyFont="1" applyFill="1" applyBorder="1" applyAlignment="1">
      <alignment horizontal="right" vertical="center"/>
    </xf>
    <xf numFmtId="43" fontId="29" fillId="0" borderId="3" xfId="0" applyNumberFormat="1" applyFont="1" applyFill="1" applyBorder="1" applyAlignment="1">
      <alignment horizontal="right" vertical="center"/>
    </xf>
    <xf numFmtId="166" fontId="8" fillId="0" borderId="0" xfId="1"/>
    <xf numFmtId="169" fontId="7" fillId="0" borderId="3" xfId="0" applyNumberFormat="1" applyFon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2" fontId="29" fillId="0" borderId="3" xfId="0" applyNumberFormat="1" applyFont="1" applyFill="1" applyBorder="1" applyAlignment="1">
      <alignment horizontal="right" vertical="center"/>
    </xf>
    <xf numFmtId="4" fontId="38" fillId="0" borderId="3" xfId="0" applyNumberFormat="1" applyFont="1" applyBorder="1" applyAlignment="1">
      <alignment horizontal="left"/>
    </xf>
    <xf numFmtId="0" fontId="38" fillId="0" borderId="3" xfId="0" applyFont="1" applyBorder="1" applyAlignment="1">
      <alignment vertical="center" wrapText="1"/>
    </xf>
    <xf numFmtId="4" fontId="40" fillId="0" borderId="3" xfId="0" applyNumberFormat="1" applyFont="1" applyBorder="1" applyAlignment="1">
      <alignment horizontal="center"/>
    </xf>
    <xf numFmtId="0" fontId="38" fillId="6" borderId="4" xfId="0" applyFont="1" applyFill="1" applyBorder="1" applyAlignment="1">
      <alignment horizontal="center" vertical="center" wrapText="1"/>
    </xf>
    <xf numFmtId="0" fontId="38" fillId="18" borderId="3" xfId="0" applyFont="1" applyFill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4" fontId="38" fillId="14" borderId="3" xfId="0" applyNumberFormat="1" applyFont="1" applyFill="1" applyBorder="1" applyAlignment="1">
      <alignment vertical="center"/>
    </xf>
    <xf numFmtId="4" fontId="38" fillId="0" borderId="3" xfId="0" applyNumberFormat="1" applyFont="1" applyFill="1" applyBorder="1" applyAlignment="1">
      <alignment vertical="center"/>
    </xf>
    <xf numFmtId="0" fontId="38" fillId="0" borderId="3" xfId="0" applyFont="1" applyBorder="1" applyAlignment="1">
      <alignment horizontal="center" vertical="center"/>
    </xf>
    <xf numFmtId="0" fontId="38" fillId="15" borderId="3" xfId="0" applyFont="1" applyFill="1" applyBorder="1" applyAlignment="1">
      <alignment horizontal="center" vertical="center"/>
    </xf>
    <xf numFmtId="0" fontId="38" fillId="0" borderId="3" xfId="0" applyFont="1" applyFill="1" applyBorder="1" applyAlignment="1">
      <alignment vertical="center" wrapText="1"/>
    </xf>
    <xf numFmtId="0" fontId="38" fillId="6" borderId="8" xfId="0" applyFont="1" applyFill="1" applyBorder="1" applyAlignment="1">
      <alignment horizontal="center"/>
    </xf>
    <xf numFmtId="0" fontId="40" fillId="0" borderId="0" xfId="0" applyFont="1"/>
    <xf numFmtId="0" fontId="38" fillId="6" borderId="3" xfId="0" applyFont="1" applyFill="1" applyBorder="1" applyAlignment="1">
      <alignment horizontal="center" vertical="center"/>
    </xf>
    <xf numFmtId="0" fontId="38" fillId="6" borderId="5" xfId="0" applyFont="1" applyFill="1" applyBorder="1" applyAlignment="1">
      <alignment horizontal="center" vertical="center"/>
    </xf>
    <xf numFmtId="0" fontId="38" fillId="6" borderId="3" xfId="0" applyFont="1" applyFill="1" applyBorder="1" applyAlignment="1">
      <alignment horizontal="center" vertical="center" wrapText="1"/>
    </xf>
    <xf numFmtId="9" fontId="40" fillId="0" borderId="0" xfId="0" applyNumberFormat="1" applyFont="1"/>
    <xf numFmtId="4" fontId="40" fillId="0" borderId="0" xfId="0" applyNumberFormat="1" applyFont="1"/>
    <xf numFmtId="0" fontId="38" fillId="6" borderId="8" xfId="0" applyFont="1" applyFill="1" applyBorder="1" applyAlignment="1">
      <alignment horizontal="center" vertical="center"/>
    </xf>
    <xf numFmtId="170" fontId="40" fillId="0" borderId="0" xfId="0" applyNumberFormat="1" applyFont="1"/>
    <xf numFmtId="169" fontId="40" fillId="0" borderId="0" xfId="0" applyNumberFormat="1" applyFont="1"/>
    <xf numFmtId="0" fontId="38" fillId="6" borderId="8" xfId="0" applyFont="1" applyFill="1" applyBorder="1" applyAlignment="1">
      <alignment horizontal="center" vertical="center" wrapText="1"/>
    </xf>
    <xf numFmtId="9" fontId="38" fillId="14" borderId="3" xfId="4" applyFont="1" applyFill="1" applyBorder="1" applyAlignment="1">
      <alignment horizontal="center" vertical="center" wrapText="1"/>
    </xf>
    <xf numFmtId="10" fontId="38" fillId="14" borderId="3" xfId="4" applyNumberFormat="1" applyFont="1" applyFill="1" applyBorder="1" applyAlignment="1">
      <alignment horizontal="center" vertical="center"/>
    </xf>
    <xf numFmtId="2" fontId="38" fillId="14" borderId="3" xfId="0" applyNumberFormat="1" applyFont="1" applyFill="1" applyBorder="1" applyAlignment="1">
      <alignment vertical="center"/>
    </xf>
    <xf numFmtId="2" fontId="38" fillId="14" borderId="3" xfId="0" applyNumberFormat="1" applyFont="1" applyFill="1" applyBorder="1" applyAlignment="1">
      <alignment vertical="center" wrapText="1"/>
    </xf>
    <xf numFmtId="10" fontId="42" fillId="14" borderId="3" xfId="0" applyNumberFormat="1" applyFont="1" applyFill="1" applyBorder="1" applyAlignment="1">
      <alignment horizontal="center" vertical="center" wrapText="1"/>
    </xf>
    <xf numFmtId="169" fontId="42" fillId="14" borderId="3" xfId="0" applyNumberFormat="1" applyFont="1" applyFill="1" applyBorder="1" applyAlignment="1">
      <alignment horizontal="center" vertical="center" wrapText="1"/>
    </xf>
    <xf numFmtId="10" fontId="38" fillId="14" borderId="3" xfId="0" applyNumberFormat="1" applyFont="1" applyFill="1" applyBorder="1" applyAlignment="1">
      <alignment horizontal="center" vertical="center" wrapText="1"/>
    </xf>
    <xf numFmtId="10" fontId="38" fillId="14" borderId="3" xfId="0" applyNumberFormat="1" applyFont="1" applyFill="1" applyBorder="1" applyAlignment="1">
      <alignment horizontal="center" vertical="center"/>
    </xf>
    <xf numFmtId="43" fontId="43" fillId="0" borderId="3" xfId="0" applyNumberFormat="1" applyFont="1" applyFill="1" applyBorder="1" applyAlignment="1">
      <alignment horizontal="right" vertical="center"/>
    </xf>
    <xf numFmtId="3" fontId="43" fillId="0" borderId="3" xfId="0" applyNumberFormat="1" applyFont="1" applyFill="1" applyBorder="1" applyAlignment="1">
      <alignment horizontal="center" vertical="center"/>
    </xf>
    <xf numFmtId="43" fontId="43" fillId="0" borderId="3" xfId="0" applyNumberFormat="1" applyFont="1" applyFill="1" applyBorder="1" applyAlignment="1">
      <alignment horizontal="center" vertical="center"/>
    </xf>
    <xf numFmtId="10" fontId="43" fillId="0" borderId="3" xfId="0" applyNumberFormat="1" applyFont="1" applyFill="1" applyBorder="1" applyAlignment="1">
      <alignment horizontal="left" vertical="center" wrapText="1" indent="1"/>
    </xf>
    <xf numFmtId="43" fontId="43" fillId="0" borderId="3" xfId="0" applyNumberFormat="1" applyFont="1" applyFill="1" applyBorder="1" applyAlignment="1">
      <alignment horizontal="left" vertical="center" wrapText="1"/>
    </xf>
    <xf numFmtId="0" fontId="29" fillId="15" borderId="3" xfId="0" applyFont="1" applyFill="1" applyBorder="1" applyAlignment="1">
      <alignment horizontal="center" vertical="center"/>
    </xf>
    <xf numFmtId="166" fontId="8" fillId="0" borderId="3" xfId="1" applyBorder="1"/>
    <xf numFmtId="0" fontId="7" fillId="0" borderId="3" xfId="0" applyFont="1" applyFill="1" applyBorder="1" applyAlignment="1">
      <alignment horizontal="center" vertical="center"/>
    </xf>
    <xf numFmtId="10" fontId="43" fillId="0" borderId="3" xfId="0" applyNumberFormat="1" applyFont="1" applyFill="1" applyBorder="1" applyAlignment="1">
      <alignment vertical="center"/>
    </xf>
    <xf numFmtId="10" fontId="43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right" vertical="center" wrapText="1"/>
    </xf>
    <xf numFmtId="9" fontId="7" fillId="0" borderId="3" xfId="0" applyNumberFormat="1" applyFont="1" applyFill="1" applyBorder="1" applyAlignment="1">
      <alignment horizontal="center" vertical="center" wrapText="1"/>
    </xf>
    <xf numFmtId="44" fontId="43" fillId="0" borderId="3" xfId="0" applyNumberFormat="1" applyFont="1" applyFill="1" applyBorder="1" applyAlignment="1">
      <alignment horizontal="left" vertical="center" indent="1"/>
    </xf>
    <xf numFmtId="166" fontId="8" fillId="0" borderId="3" xfId="1" applyBorder="1" applyAlignment="1">
      <alignment vertical="center"/>
    </xf>
    <xf numFmtId="10" fontId="10" fillId="0" borderId="4" xfId="0" applyNumberFormat="1" applyFont="1" applyFill="1" applyBorder="1" applyAlignment="1">
      <alignment vertical="center" wrapText="1"/>
    </xf>
    <xf numFmtId="169" fontId="10" fillId="0" borderId="4" xfId="0" applyNumberFormat="1" applyFont="1" applyFill="1" applyBorder="1" applyAlignment="1">
      <alignment vertical="center" wrapText="1"/>
    </xf>
    <xf numFmtId="10" fontId="7" fillId="0" borderId="3" xfId="0" applyNumberFormat="1" applyFont="1" applyFill="1" applyBorder="1" applyAlignment="1">
      <alignment horizontal="center" vertical="center"/>
    </xf>
    <xf numFmtId="178" fontId="8" fillId="14" borderId="3" xfId="1" applyNumberFormat="1" applyFill="1" applyBorder="1" applyAlignment="1">
      <alignment horizontal="center"/>
    </xf>
    <xf numFmtId="174" fontId="7" fillId="0" borderId="3" xfId="0" applyNumberFormat="1" applyFont="1" applyFill="1" applyBorder="1" applyAlignment="1">
      <alignment horizontal="center" vertical="center" wrapText="1"/>
    </xf>
    <xf numFmtId="171" fontId="7" fillId="0" borderId="3" xfId="0" applyNumberFormat="1" applyFont="1" applyFill="1" applyBorder="1" applyAlignment="1">
      <alignment horizontal="right" vertical="center"/>
    </xf>
    <xf numFmtId="10" fontId="7" fillId="0" borderId="4" xfId="0" applyNumberFormat="1" applyFont="1" applyFill="1" applyBorder="1" applyAlignment="1">
      <alignment vertical="center" wrapText="1"/>
    </xf>
    <xf numFmtId="10" fontId="8" fillId="0" borderId="0" xfId="4" applyNumberFormat="1" applyFont="1"/>
    <xf numFmtId="10" fontId="38" fillId="19" borderId="3" xfId="0" applyNumberFormat="1" applyFont="1" applyFill="1" applyBorder="1" applyAlignment="1">
      <alignment horizontal="center" vertical="center"/>
    </xf>
    <xf numFmtId="9" fontId="41" fillId="19" borderId="3" xfId="4" applyFont="1" applyFill="1" applyBorder="1" applyAlignment="1">
      <alignment horizontal="center" vertical="center" wrapText="1"/>
    </xf>
    <xf numFmtId="166" fontId="8" fillId="0" borderId="3" xfId="2" applyBorder="1"/>
    <xf numFmtId="10" fontId="7" fillId="0" borderId="3" xfId="0" applyNumberFormat="1" applyFont="1" applyBorder="1" applyAlignment="1">
      <alignment vertical="center" wrapText="1"/>
    </xf>
    <xf numFmtId="10" fontId="7" fillId="0" borderId="3" xfId="0" applyNumberFormat="1" applyFont="1" applyFill="1" applyBorder="1" applyAlignment="1">
      <alignment vertical="center"/>
    </xf>
    <xf numFmtId="0" fontId="29" fillId="6" borderId="3" xfId="0" applyFont="1" applyFill="1" applyBorder="1" applyAlignment="1">
      <alignment vertical="center"/>
    </xf>
    <xf numFmtId="0" fontId="3" fillId="4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164" fontId="3" fillId="0" borderId="3" xfId="0" applyNumberFormat="1" applyFont="1" applyBorder="1" applyAlignment="1">
      <alignment vertical="center"/>
    </xf>
    <xf numFmtId="164" fontId="3" fillId="12" borderId="3" xfId="0" applyNumberFormat="1" applyFont="1" applyFill="1" applyBorder="1" applyAlignment="1">
      <alignment vertical="center"/>
    </xf>
    <xf numFmtId="0" fontId="3" fillId="4" borderId="3" xfId="0" applyFont="1" applyFill="1" applyBorder="1" applyAlignment="1">
      <alignment horizontal="center" vertical="center"/>
    </xf>
    <xf numFmtId="0" fontId="3" fillId="14" borderId="3" xfId="0" applyFont="1" applyFill="1" applyBorder="1" applyAlignment="1">
      <alignment horizontal="center"/>
    </xf>
    <xf numFmtId="0" fontId="4" fillId="14" borderId="3" xfId="0" applyFont="1" applyFill="1" applyBorder="1" applyAlignment="1">
      <alignment horizontal="center"/>
    </xf>
    <xf numFmtId="176" fontId="4" fillId="0" borderId="3" xfId="0" applyNumberFormat="1" applyFont="1" applyBorder="1" applyAlignment="1">
      <alignment horizontal="center"/>
    </xf>
    <xf numFmtId="176" fontId="3" fillId="2" borderId="3" xfId="0" applyNumberFormat="1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164" fontId="4" fillId="0" borderId="3" xfId="0" applyNumberFormat="1" applyFont="1" applyBorder="1" applyAlignment="1">
      <alignment horizontal="right"/>
    </xf>
    <xf numFmtId="164" fontId="4" fillId="14" borderId="3" xfId="0" applyNumberFormat="1" applyFont="1" applyFill="1" applyBorder="1" applyAlignment="1">
      <alignment horizontal="right"/>
    </xf>
    <xf numFmtId="4" fontId="30" fillId="0" borderId="3" xfId="0" applyNumberFormat="1" applyFont="1" applyFill="1" applyBorder="1" applyAlignment="1">
      <alignment horizontal="right" vertical="center"/>
    </xf>
    <xf numFmtId="0" fontId="3" fillId="1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4" fontId="6" fillId="0" borderId="0" xfId="0" applyNumberFormat="1" applyFont="1"/>
    <xf numFmtId="0" fontId="3" fillId="16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4" fillId="0" borderId="0" xfId="0" applyFont="1" applyAlignment="1"/>
    <xf numFmtId="0" fontId="3" fillId="3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5" fontId="40" fillId="14" borderId="5" xfId="0" applyNumberFormat="1" applyFont="1" applyFill="1" applyBorder="1" applyAlignment="1">
      <alignment horizontal="center"/>
    </xf>
    <xf numFmtId="165" fontId="40" fillId="14" borderId="6" xfId="0" applyNumberFormat="1" applyFont="1" applyFill="1" applyBorder="1" applyAlignment="1">
      <alignment horizontal="center"/>
    </xf>
    <xf numFmtId="165" fontId="40" fillId="14" borderId="7" xfId="0" applyNumberFormat="1" applyFont="1" applyFill="1" applyBorder="1" applyAlignment="1">
      <alignment horizontal="center"/>
    </xf>
    <xf numFmtId="0" fontId="38" fillId="0" borderId="3" xfId="0" applyFont="1" applyBorder="1" applyAlignment="1">
      <alignment horizontal="left" vertical="center"/>
    </xf>
    <xf numFmtId="165" fontId="40" fillId="14" borderId="3" xfId="0" applyNumberFormat="1" applyFont="1" applyFill="1" applyBorder="1" applyAlignment="1">
      <alignment horizontal="center"/>
    </xf>
    <xf numFmtId="4" fontId="40" fillId="0" borderId="3" xfId="0" applyNumberFormat="1" applyFont="1" applyFill="1" applyBorder="1" applyAlignment="1">
      <alignment horizontal="center" vertical="center" wrapText="1"/>
    </xf>
    <xf numFmtId="0" fontId="38" fillId="0" borderId="5" xfId="0" applyFont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 wrapText="1"/>
    </xf>
    <xf numFmtId="0" fontId="38" fillId="0" borderId="7" xfId="0" applyFont="1" applyBorder="1" applyAlignment="1">
      <alignment horizontal="left" vertical="center" wrapText="1"/>
    </xf>
    <xf numFmtId="0" fontId="38" fillId="0" borderId="3" xfId="0" applyFont="1" applyBorder="1" applyAlignment="1">
      <alignment horizontal="left" vertical="center" wrapText="1"/>
    </xf>
    <xf numFmtId="0" fontId="38" fillId="0" borderId="3" xfId="0" applyFont="1" applyBorder="1" applyAlignment="1">
      <alignment horizontal="left" wrapText="1"/>
    </xf>
    <xf numFmtId="3" fontId="40" fillId="0" borderId="3" xfId="0" applyNumberFormat="1" applyFont="1" applyBorder="1" applyAlignment="1">
      <alignment horizontal="center"/>
    </xf>
    <xf numFmtId="4" fontId="40" fillId="0" borderId="3" xfId="0" applyNumberFormat="1" applyFont="1" applyBorder="1" applyAlignment="1">
      <alignment horizontal="center"/>
    </xf>
    <xf numFmtId="0" fontId="38" fillId="6" borderId="5" xfId="0" applyFont="1" applyFill="1" applyBorder="1" applyAlignment="1">
      <alignment horizontal="center" vertical="center" wrapText="1"/>
    </xf>
    <xf numFmtId="0" fontId="38" fillId="6" borderId="6" xfId="0" applyFont="1" applyFill="1" applyBorder="1" applyAlignment="1">
      <alignment horizontal="center" vertical="center" wrapText="1"/>
    </xf>
    <xf numFmtId="0" fontId="38" fillId="6" borderId="7" xfId="0" applyFont="1" applyFill="1" applyBorder="1" applyAlignment="1">
      <alignment horizontal="center" vertical="center" wrapText="1"/>
    </xf>
    <xf numFmtId="0" fontId="38" fillId="17" borderId="3" xfId="0" applyFont="1" applyFill="1" applyBorder="1" applyAlignment="1">
      <alignment horizontal="center"/>
    </xf>
    <xf numFmtId="4" fontId="40" fillId="0" borderId="5" xfId="0" applyNumberFormat="1" applyFont="1" applyBorder="1" applyAlignment="1">
      <alignment horizontal="center" vertical="center"/>
    </xf>
    <xf numFmtId="4" fontId="40" fillId="0" borderId="6" xfId="0" applyNumberFormat="1" applyFont="1" applyBorder="1" applyAlignment="1">
      <alignment horizontal="center" vertical="center"/>
    </xf>
    <xf numFmtId="4" fontId="40" fillId="0" borderId="7" xfId="0" applyNumberFormat="1" applyFont="1" applyBorder="1" applyAlignment="1">
      <alignment horizontal="center" vertical="center"/>
    </xf>
    <xf numFmtId="4" fontId="40" fillId="0" borderId="5" xfId="0" applyNumberFormat="1" applyFont="1" applyBorder="1" applyAlignment="1">
      <alignment horizontal="center"/>
    </xf>
    <xf numFmtId="4" fontId="40" fillId="0" borderId="6" xfId="0" applyNumberFormat="1" applyFont="1" applyBorder="1" applyAlignment="1">
      <alignment horizontal="center"/>
    </xf>
    <xf numFmtId="4" fontId="40" fillId="0" borderId="7" xfId="0" applyNumberFormat="1" applyFont="1" applyBorder="1" applyAlignment="1">
      <alignment horizontal="center"/>
    </xf>
    <xf numFmtId="165" fontId="40" fillId="0" borderId="5" xfId="0" applyNumberFormat="1" applyFont="1" applyBorder="1" applyAlignment="1">
      <alignment horizontal="center" vertical="center"/>
    </xf>
    <xf numFmtId="165" fontId="40" fillId="0" borderId="6" xfId="0" applyNumberFormat="1" applyFont="1" applyBorder="1" applyAlignment="1">
      <alignment horizontal="center" vertical="center"/>
    </xf>
    <xf numFmtId="165" fontId="40" fillId="0" borderId="7" xfId="0" applyNumberFormat="1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left" vertical="center" wrapText="1"/>
    </xf>
    <xf numFmtId="4" fontId="40" fillId="14" borderId="5" xfId="0" applyNumberFormat="1" applyFont="1" applyFill="1" applyBorder="1" applyAlignment="1">
      <alignment horizontal="center" vertical="center" wrapText="1"/>
    </xf>
    <xf numFmtId="4" fontId="40" fillId="14" borderId="6" xfId="0" applyNumberFormat="1" applyFont="1" applyFill="1" applyBorder="1" applyAlignment="1">
      <alignment horizontal="center" vertical="center" wrapText="1"/>
    </xf>
    <xf numFmtId="4" fontId="40" fillId="14" borderId="7" xfId="0" applyNumberFormat="1" applyFont="1" applyFill="1" applyBorder="1" applyAlignment="1">
      <alignment horizontal="center" vertical="center" wrapText="1"/>
    </xf>
    <xf numFmtId="0" fontId="38" fillId="18" borderId="3" xfId="0" applyFont="1" applyFill="1" applyBorder="1" applyAlignment="1">
      <alignment horizontal="left" vertical="center" wrapText="1"/>
    </xf>
    <xf numFmtId="0" fontId="38" fillId="6" borderId="20" xfId="0" applyFont="1" applyFill="1" applyBorder="1" applyAlignment="1">
      <alignment horizontal="center" vertical="center"/>
    </xf>
    <xf numFmtId="0" fontId="38" fillId="6" borderId="9" xfId="0" applyFont="1" applyFill="1" applyBorder="1" applyAlignment="1">
      <alignment horizontal="center" vertical="center"/>
    </xf>
    <xf numFmtId="0" fontId="38" fillId="6" borderId="17" xfId="0" applyFont="1" applyFill="1" applyBorder="1" applyAlignment="1">
      <alignment horizontal="center" vertical="center"/>
    </xf>
    <xf numFmtId="0" fontId="41" fillId="0" borderId="5" xfId="0" applyFont="1" applyFill="1" applyBorder="1" applyAlignment="1">
      <alignment horizontal="left" vertical="center" wrapText="1"/>
    </xf>
    <xf numFmtId="0" fontId="41" fillId="0" borderId="6" xfId="0" applyFont="1" applyFill="1" applyBorder="1" applyAlignment="1">
      <alignment horizontal="left" vertical="center" wrapText="1"/>
    </xf>
    <xf numFmtId="0" fontId="41" fillId="0" borderId="7" xfId="0" applyFont="1" applyFill="1" applyBorder="1" applyAlignment="1">
      <alignment horizontal="left" vertical="center" wrapText="1"/>
    </xf>
    <xf numFmtId="0" fontId="41" fillId="0" borderId="3" xfId="0" applyFont="1" applyFill="1" applyBorder="1" applyAlignment="1">
      <alignment horizontal="left" vertical="center" wrapText="1"/>
    </xf>
    <xf numFmtId="0" fontId="38" fillId="18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left" vertical="center" wrapText="1"/>
    </xf>
    <xf numFmtId="0" fontId="40" fillId="0" borderId="3" xfId="0" applyFont="1" applyBorder="1" applyAlignment="1">
      <alignment horizontal="justify" vertical="center" wrapText="1"/>
    </xf>
    <xf numFmtId="0" fontId="38" fillId="0" borderId="5" xfId="0" applyFont="1" applyFill="1" applyBorder="1" applyAlignment="1">
      <alignment horizontal="left" vertical="center"/>
    </xf>
    <xf numFmtId="0" fontId="38" fillId="0" borderId="6" xfId="0" applyFont="1" applyFill="1" applyBorder="1" applyAlignment="1">
      <alignment horizontal="left" vertical="center"/>
    </xf>
    <xf numFmtId="0" fontId="38" fillId="0" borderId="7" xfId="0" applyFont="1" applyFill="1" applyBorder="1" applyAlignment="1">
      <alignment horizontal="left" vertical="center"/>
    </xf>
    <xf numFmtId="0" fontId="38" fillId="0" borderId="5" xfId="0" applyFont="1" applyFill="1" applyBorder="1" applyAlignment="1">
      <alignment horizontal="left" vertical="center" wrapText="1"/>
    </xf>
    <xf numFmtId="0" fontId="38" fillId="0" borderId="6" xfId="0" applyFont="1" applyFill="1" applyBorder="1" applyAlignment="1">
      <alignment horizontal="left" vertical="center" wrapText="1"/>
    </xf>
    <xf numFmtId="0" fontId="38" fillId="0" borderId="7" xfId="0" applyFont="1" applyFill="1" applyBorder="1" applyAlignment="1">
      <alignment horizontal="left" vertical="center" wrapText="1"/>
    </xf>
    <xf numFmtId="0" fontId="40" fillId="0" borderId="3" xfId="0" applyFont="1" applyBorder="1" applyAlignment="1">
      <alignment horizontal="left" vertical="center"/>
    </xf>
    <xf numFmtId="0" fontId="40" fillId="0" borderId="5" xfId="0" applyFont="1" applyBorder="1" applyAlignment="1">
      <alignment horizontal="left" vertical="center" wrapText="1"/>
    </xf>
    <xf numFmtId="0" fontId="40" fillId="0" borderId="6" xfId="0" applyFont="1" applyBorder="1" applyAlignment="1">
      <alignment horizontal="left" vertical="center" wrapText="1"/>
    </xf>
    <xf numFmtId="0" fontId="40" fillId="0" borderId="7" xfId="0" applyFont="1" applyBorder="1" applyAlignment="1">
      <alignment horizontal="left" vertical="center" wrapText="1"/>
    </xf>
    <xf numFmtId="0" fontId="38" fillId="6" borderId="3" xfId="0" applyFont="1" applyFill="1" applyBorder="1" applyAlignment="1">
      <alignment horizontal="center" vertical="center" wrapText="1"/>
    </xf>
    <xf numFmtId="0" fontId="40" fillId="8" borderId="3" xfId="0" applyFont="1" applyFill="1" applyBorder="1" applyAlignment="1">
      <alignment horizontal="justify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165" fontId="9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 wrapText="1"/>
    </xf>
    <xf numFmtId="14" fontId="7" fillId="0" borderId="7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3" fontId="7" fillId="0" borderId="3" xfId="0" applyNumberFormat="1" applyFont="1" applyBorder="1" applyAlignment="1">
      <alignment horizontal="center" vertical="center" wrapText="1"/>
    </xf>
    <xf numFmtId="1" fontId="7" fillId="0" borderId="3" xfId="0" applyNumberFormat="1" applyFont="1" applyFill="1" applyBorder="1" applyAlignment="1">
      <alignment horizontal="center" vertical="center" wrapText="1"/>
    </xf>
    <xf numFmtId="0" fontId="0" fillId="7" borderId="3" xfId="0" applyFill="1" applyBorder="1" applyAlignment="1"/>
    <xf numFmtId="0" fontId="8" fillId="0" borderId="3" xfId="0" applyFont="1" applyBorder="1" applyAlignment="1">
      <alignment horizontal="justify" vertical="center" wrapText="1"/>
    </xf>
    <xf numFmtId="3" fontId="7" fillId="0" borderId="3" xfId="0" applyNumberFormat="1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3" xfId="0" applyFont="1" applyBorder="1" applyAlignment="1">
      <alignment horizontal="left" vertical="center" wrapText="1"/>
    </xf>
    <xf numFmtId="167" fontId="10" fillId="0" borderId="3" xfId="0" applyNumberFormat="1" applyFont="1" applyBorder="1" applyAlignment="1">
      <alignment horizontal="center" vertical="center" wrapText="1"/>
    </xf>
    <xf numFmtId="168" fontId="10" fillId="0" borderId="3" xfId="0" applyNumberFormat="1" applyFont="1" applyBorder="1" applyAlignment="1">
      <alignment horizontal="right" vertical="center"/>
    </xf>
    <xf numFmtId="164" fontId="10" fillId="0" borderId="3" xfId="0" applyNumberFormat="1" applyFont="1" applyFill="1" applyBorder="1" applyAlignment="1">
      <alignment horizontal="right" vertical="center"/>
    </xf>
    <xf numFmtId="164" fontId="10" fillId="0" borderId="3" xfId="0" applyNumberFormat="1" applyFont="1" applyBorder="1" applyAlignment="1">
      <alignment horizontal="right" vertical="center"/>
    </xf>
    <xf numFmtId="175" fontId="10" fillId="0" borderId="3" xfId="0" applyNumberFormat="1" applyFont="1" applyFill="1" applyBorder="1" applyAlignment="1">
      <alignment horizontal="right" vertical="center"/>
    </xf>
    <xf numFmtId="168" fontId="10" fillId="0" borderId="3" xfId="0" applyNumberFormat="1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7" fillId="6" borderId="3" xfId="0" applyFont="1" applyFill="1" applyBorder="1" applyAlignment="1">
      <alignment horizontal="right" vertical="center" wrapText="1"/>
    </xf>
    <xf numFmtId="0" fontId="12" fillId="0" borderId="3" xfId="0" applyFont="1" applyBorder="1" applyAlignment="1">
      <alignment horizontal="left" vertical="center" wrapText="1"/>
    </xf>
    <xf numFmtId="0" fontId="13" fillId="6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justify" vertical="center" wrapText="1"/>
    </xf>
    <xf numFmtId="10" fontId="7" fillId="0" borderId="3" xfId="0" applyNumberFormat="1" applyFont="1" applyBorder="1" applyAlignment="1">
      <alignment horizontal="justify" vertical="center" wrapText="1"/>
    </xf>
    <xf numFmtId="0" fontId="7" fillId="6" borderId="3" xfId="0" applyFont="1" applyFill="1" applyBorder="1" applyAlignment="1">
      <alignment horizontal="right" vertical="center"/>
    </xf>
    <xf numFmtId="0" fontId="8" fillId="8" borderId="3" xfId="0" applyFont="1" applyFill="1" applyBorder="1" applyAlignment="1">
      <alignment horizontal="justify" vertical="center" wrapText="1"/>
    </xf>
    <xf numFmtId="0" fontId="12" fillId="0" borderId="3" xfId="0" applyFont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justify" vertical="center" wrapText="1"/>
    </xf>
    <xf numFmtId="0" fontId="13" fillId="0" borderId="3" xfId="0" applyFont="1" applyBorder="1" applyAlignment="1">
      <alignment horizontal="justify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43" fillId="0" borderId="3" xfId="0" applyFont="1" applyFill="1" applyBorder="1" applyAlignment="1">
      <alignment horizontal="left" vertical="center" wrapText="1" indent="1"/>
    </xf>
    <xf numFmtId="0" fontId="43" fillId="0" borderId="3" xfId="0" applyFont="1" applyFill="1" applyBorder="1" applyAlignment="1">
      <alignment horizontal="left" indent="1"/>
    </xf>
    <xf numFmtId="0" fontId="29" fillId="0" borderId="3" xfId="0" applyFont="1" applyFill="1" applyBorder="1" applyAlignment="1">
      <alignment horizontal="left" vertical="center" wrapText="1"/>
    </xf>
    <xf numFmtId="0" fontId="43" fillId="0" borderId="3" xfId="0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28" fillId="0" borderId="3" xfId="0" applyFont="1" applyFill="1" applyBorder="1" applyAlignment="1">
      <alignment horizontal="left" vertical="center" wrapText="1"/>
    </xf>
    <xf numFmtId="0" fontId="43" fillId="0" borderId="5" xfId="0" applyFont="1" applyFill="1" applyBorder="1" applyAlignment="1">
      <alignment horizontal="left" vertical="center" wrapText="1"/>
    </xf>
    <xf numFmtId="0" fontId="43" fillId="0" borderId="6" xfId="0" applyFont="1" applyFill="1" applyBorder="1" applyAlignment="1">
      <alignment horizontal="left" vertical="center" wrapText="1"/>
    </xf>
    <xf numFmtId="0" fontId="43" fillId="0" borderId="7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7" fillId="0" borderId="7" xfId="0" applyFont="1" applyFill="1" applyBorder="1" applyAlignment="1">
      <alignment horizontal="left" vertical="center"/>
    </xf>
    <xf numFmtId="0" fontId="13" fillId="6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left" vertical="center" wrapText="1"/>
    </xf>
    <xf numFmtId="0" fontId="0" fillId="6" borderId="3" xfId="0" applyFill="1" applyBorder="1" applyAlignment="1"/>
    <xf numFmtId="0" fontId="12" fillId="6" borderId="3" xfId="0" applyFont="1" applyFill="1" applyBorder="1" applyAlignment="1"/>
    <xf numFmtId="0" fontId="12" fillId="0" borderId="3" xfId="0" applyFont="1" applyBorder="1" applyAlignment="1">
      <alignment horizontal="right" vertical="center"/>
    </xf>
    <xf numFmtId="0" fontId="12" fillId="6" borderId="3" xfId="0" applyFont="1" applyFill="1" applyBorder="1" applyAlignment="1">
      <alignment horizontal="right" vertical="center"/>
    </xf>
    <xf numFmtId="0" fontId="6" fillId="0" borderId="3" xfId="0" applyFont="1" applyBorder="1" applyAlignment="1">
      <alignment horizontal="left" vertical="center"/>
    </xf>
    <xf numFmtId="0" fontId="13" fillId="6" borderId="5" xfId="0" applyFont="1" applyFill="1" applyBorder="1" applyAlignment="1">
      <alignment horizontal="left" vertical="center" wrapText="1"/>
    </xf>
    <xf numFmtId="0" fontId="13" fillId="6" borderId="6" xfId="0" applyFont="1" applyFill="1" applyBorder="1" applyAlignment="1">
      <alignment horizontal="left" vertical="center" wrapText="1"/>
    </xf>
    <xf numFmtId="0" fontId="13" fillId="6" borderId="7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right" vertical="center" wrapText="1"/>
    </xf>
    <xf numFmtId="0" fontId="7" fillId="0" borderId="5" xfId="0" applyFont="1" applyBorder="1" applyAlignment="1">
      <alignment horizontal="center" vertical="center"/>
    </xf>
    <xf numFmtId="0" fontId="14" fillId="0" borderId="9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49" fontId="7" fillId="6" borderId="3" xfId="0" applyNumberFormat="1" applyFont="1" applyFill="1" applyBorder="1" applyAlignment="1">
      <alignment horizontal="right" vertical="center" wrapText="1"/>
    </xf>
    <xf numFmtId="0" fontId="0" fillId="7" borderId="5" xfId="0" applyFill="1" applyBorder="1" applyAlignment="1"/>
    <xf numFmtId="49" fontId="12" fillId="0" borderId="3" xfId="0" applyNumberFormat="1" applyFont="1" applyBorder="1" applyAlignment="1">
      <alignment horizontal="left" vertical="center" wrapText="1"/>
    </xf>
    <xf numFmtId="0" fontId="13" fillId="6" borderId="3" xfId="0" applyFont="1" applyFill="1" applyBorder="1" applyAlignment="1">
      <alignment vertical="center" wrapText="1"/>
    </xf>
    <xf numFmtId="0" fontId="0" fillId="7" borderId="6" xfId="0" applyFill="1" applyBorder="1" applyAlignment="1"/>
    <xf numFmtId="0" fontId="17" fillId="0" borderId="3" xfId="0" applyFont="1" applyBorder="1" applyAlignment="1">
      <alignment horizontal="left" vertical="center" wrapText="1"/>
    </xf>
    <xf numFmtId="1" fontId="17" fillId="0" borderId="3" xfId="0" applyNumberFormat="1" applyFont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justify" vertical="center" wrapText="1"/>
    </xf>
    <xf numFmtId="167" fontId="17" fillId="0" borderId="3" xfId="0" applyNumberFormat="1" applyFont="1" applyBorder="1" applyAlignment="1">
      <alignment horizontal="center" vertical="center"/>
    </xf>
    <xf numFmtId="167" fontId="17" fillId="0" borderId="3" xfId="0" applyNumberFormat="1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 indent="1"/>
    </xf>
    <xf numFmtId="0" fontId="7" fillId="0" borderId="3" xfId="0" applyFont="1" applyFill="1" applyBorder="1" applyAlignment="1">
      <alignment horizontal="left" indent="1"/>
    </xf>
    <xf numFmtId="0" fontId="29" fillId="0" borderId="3" xfId="0" applyFont="1" applyBorder="1" applyAlignment="1">
      <alignment horizontal="left" vertical="center" wrapText="1"/>
    </xf>
    <xf numFmtId="164" fontId="10" fillId="0" borderId="5" xfId="0" applyNumberFormat="1" applyFont="1" applyBorder="1" applyAlignment="1">
      <alignment horizontal="right" vertical="center"/>
    </xf>
    <xf numFmtId="164" fontId="10" fillId="0" borderId="7" xfId="0" applyNumberFormat="1" applyFont="1" applyBorder="1" applyAlignment="1">
      <alignment horizontal="right" vertical="center"/>
    </xf>
    <xf numFmtId="175" fontId="10" fillId="0" borderId="5" xfId="0" applyNumberFormat="1" applyFont="1" applyFill="1" applyBorder="1" applyAlignment="1">
      <alignment horizontal="right" vertical="center"/>
    </xf>
    <xf numFmtId="175" fontId="10" fillId="0" borderId="7" xfId="0" applyNumberFormat="1" applyFont="1" applyFill="1" applyBorder="1" applyAlignment="1">
      <alignment horizontal="right" vertical="center"/>
    </xf>
    <xf numFmtId="168" fontId="10" fillId="0" borderId="5" xfId="0" applyNumberFormat="1" applyFont="1" applyFill="1" applyBorder="1" applyAlignment="1">
      <alignment horizontal="center" vertical="center"/>
    </xf>
    <xf numFmtId="168" fontId="10" fillId="0" borderId="7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 wrapText="1"/>
    </xf>
    <xf numFmtId="165" fontId="10" fillId="0" borderId="7" xfId="0" applyNumberFormat="1" applyFont="1" applyFill="1" applyBorder="1" applyAlignment="1">
      <alignment horizontal="center" vertical="center" wrapText="1"/>
    </xf>
    <xf numFmtId="167" fontId="10" fillId="0" borderId="5" xfId="0" applyNumberFormat="1" applyFont="1" applyBorder="1" applyAlignment="1">
      <alignment horizontal="center" vertical="center" wrapText="1"/>
    </xf>
    <xf numFmtId="167" fontId="10" fillId="0" borderId="7" xfId="0" applyNumberFormat="1" applyFont="1" applyBorder="1" applyAlignment="1">
      <alignment horizontal="center" vertical="center" wrapText="1"/>
    </xf>
    <xf numFmtId="168" fontId="10" fillId="0" borderId="5" xfId="0" applyNumberFormat="1" applyFont="1" applyBorder="1" applyAlignment="1">
      <alignment horizontal="center" vertical="center"/>
    </xf>
    <xf numFmtId="168" fontId="10" fillId="0" borderId="7" xfId="0" applyNumberFormat="1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 wrapText="1"/>
    </xf>
    <xf numFmtId="4" fontId="7" fillId="0" borderId="6" xfId="0" applyNumberFormat="1" applyFont="1" applyBorder="1" applyAlignment="1">
      <alignment horizontal="center" vertical="center" wrapText="1"/>
    </xf>
    <xf numFmtId="4" fontId="7" fillId="0" borderId="7" xfId="0" applyNumberFormat="1" applyFont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3" fontId="7" fillId="0" borderId="7" xfId="0" applyNumberFormat="1" applyFont="1" applyBorder="1" applyAlignment="1">
      <alignment horizontal="center"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1" fontId="7" fillId="0" borderId="7" xfId="0" applyNumberFormat="1" applyFont="1" applyFill="1" applyBorder="1" applyAlignment="1">
      <alignment horizontal="center" vertical="center" wrapText="1"/>
    </xf>
    <xf numFmtId="3" fontId="7" fillId="0" borderId="5" xfId="0" applyNumberFormat="1" applyFont="1" applyFill="1" applyBorder="1" applyAlignment="1">
      <alignment horizontal="center" vertical="center" wrapText="1"/>
    </xf>
    <xf numFmtId="3" fontId="7" fillId="0" borderId="7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4" fontId="7" fillId="0" borderId="5" xfId="0" applyNumberFormat="1" applyFont="1" applyFill="1" applyBorder="1" applyAlignment="1">
      <alignment horizontal="center" vertical="center" wrapText="1"/>
    </xf>
    <xf numFmtId="4" fontId="7" fillId="0" borderId="7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 indent="1"/>
    </xf>
    <xf numFmtId="0" fontId="29" fillId="0" borderId="5" xfId="0" applyFont="1" applyFill="1" applyBorder="1" applyAlignment="1">
      <alignment horizontal="left" vertical="center" wrapText="1"/>
    </xf>
    <xf numFmtId="0" fontId="29" fillId="0" borderId="6" xfId="0" applyFont="1" applyFill="1" applyBorder="1" applyAlignment="1">
      <alignment horizontal="left"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right" vertical="center"/>
    </xf>
    <xf numFmtId="0" fontId="7" fillId="6" borderId="6" xfId="0" applyFont="1" applyFill="1" applyBorder="1" applyAlignment="1">
      <alignment horizontal="right" vertical="center"/>
    </xf>
    <xf numFmtId="0" fontId="7" fillId="6" borderId="7" xfId="0" applyFont="1" applyFill="1" applyBorder="1" applyAlignment="1">
      <alignment horizontal="right" vertical="center"/>
    </xf>
    <xf numFmtId="0" fontId="43" fillId="0" borderId="5" xfId="0" applyFont="1" applyFill="1" applyBorder="1" applyAlignment="1">
      <alignment horizontal="left" vertical="center" wrapText="1" indent="1"/>
    </xf>
    <xf numFmtId="0" fontId="43" fillId="0" borderId="6" xfId="0" applyFont="1" applyFill="1" applyBorder="1" applyAlignment="1">
      <alignment horizontal="left" vertical="center" wrapText="1" indent="1"/>
    </xf>
    <xf numFmtId="0" fontId="43" fillId="0" borderId="7" xfId="0" applyFont="1" applyFill="1" applyBorder="1" applyAlignment="1">
      <alignment horizontal="left" vertical="center" wrapText="1" indent="1"/>
    </xf>
    <xf numFmtId="0" fontId="28" fillId="0" borderId="5" xfId="0" applyFont="1" applyFill="1" applyBorder="1" applyAlignment="1">
      <alignment horizontal="left" vertical="center" wrapText="1"/>
    </xf>
    <xf numFmtId="0" fontId="28" fillId="0" borderId="6" xfId="0" applyFont="1" applyFill="1" applyBorder="1" applyAlignment="1">
      <alignment horizontal="left" vertical="center" wrapText="1"/>
    </xf>
    <xf numFmtId="0" fontId="28" fillId="0" borderId="7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29" fillId="0" borderId="5" xfId="0" applyFont="1" applyBorder="1" applyAlignment="1">
      <alignment horizontal="left" vertical="center" wrapText="1"/>
    </xf>
    <xf numFmtId="0" fontId="29" fillId="0" borderId="6" xfId="0" applyFont="1" applyBorder="1" applyAlignment="1">
      <alignment horizontal="left" vertical="center" wrapText="1"/>
    </xf>
    <xf numFmtId="0" fontId="29" fillId="0" borderId="7" xfId="0" applyFont="1" applyBorder="1" applyAlignment="1">
      <alignment horizontal="left" vertical="center" wrapText="1"/>
    </xf>
    <xf numFmtId="167" fontId="17" fillId="0" borderId="5" xfId="0" applyNumberFormat="1" applyFont="1" applyBorder="1" applyAlignment="1">
      <alignment horizontal="center" vertical="center" wrapText="1"/>
    </xf>
    <xf numFmtId="167" fontId="17" fillId="0" borderId="6" xfId="0" applyNumberFormat="1" applyFont="1" applyBorder="1" applyAlignment="1">
      <alignment horizontal="center" vertical="center" wrapText="1"/>
    </xf>
    <xf numFmtId="167" fontId="17" fillId="0" borderId="7" xfId="0" applyNumberFormat="1" applyFont="1" applyBorder="1" applyAlignment="1">
      <alignment horizontal="center" vertical="center" wrapText="1"/>
    </xf>
    <xf numFmtId="0" fontId="30" fillId="7" borderId="5" xfId="0" applyFont="1" applyFill="1" applyBorder="1" applyAlignment="1"/>
    <xf numFmtId="0" fontId="30" fillId="7" borderId="6" xfId="0" applyFont="1" applyFill="1" applyBorder="1" applyAlignment="1"/>
    <xf numFmtId="0" fontId="30" fillId="7" borderId="7" xfId="0" applyFont="1" applyFill="1" applyBorder="1" applyAlignment="1"/>
    <xf numFmtId="49" fontId="29" fillId="6" borderId="3" xfId="0" applyNumberFormat="1" applyFont="1" applyFill="1" applyBorder="1" applyAlignment="1">
      <alignment horizontal="right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30" fillId="7" borderId="3" xfId="0" applyFont="1" applyFill="1" applyBorder="1" applyAlignment="1"/>
    <xf numFmtId="0" fontId="30" fillId="0" borderId="3" xfId="0" applyFont="1" applyBorder="1" applyAlignment="1">
      <alignment horizontal="justify" vertical="center" wrapText="1"/>
    </xf>
    <xf numFmtId="0" fontId="30" fillId="0" borderId="0" xfId="0" applyFont="1" applyAlignment="1"/>
    <xf numFmtId="0" fontId="29" fillId="6" borderId="3" xfId="0" applyFont="1" applyFill="1" applyBorder="1" applyAlignment="1">
      <alignment horizontal="left" vertical="center" wrapText="1"/>
    </xf>
    <xf numFmtId="164" fontId="31" fillId="0" borderId="3" xfId="0" applyNumberFormat="1" applyFont="1" applyBorder="1" applyAlignment="1">
      <alignment horizontal="right" vertical="center" wrapText="1"/>
    </xf>
    <xf numFmtId="164" fontId="29" fillId="0" borderId="3" xfId="2" applyNumberFormat="1" applyFont="1" applyBorder="1" applyAlignment="1" applyProtection="1">
      <alignment horizontal="right" vertical="center"/>
    </xf>
    <xf numFmtId="164" fontId="29" fillId="0" borderId="3" xfId="2" applyNumberFormat="1" applyFont="1" applyBorder="1" applyAlignment="1" applyProtection="1">
      <alignment horizontal="right"/>
    </xf>
    <xf numFmtId="0" fontId="31" fillId="0" borderId="3" xfId="0" applyFont="1" applyFill="1" applyBorder="1" applyAlignment="1">
      <alignment horizontal="center" vertical="center" wrapText="1"/>
    </xf>
    <xf numFmtId="0" fontId="30" fillId="0" borderId="3" xfId="0" applyFont="1" applyBorder="1" applyAlignment="1">
      <alignment horizontal="left" vertical="center" wrapText="1"/>
    </xf>
    <xf numFmtId="0" fontId="29" fillId="6" borderId="3" xfId="0" applyFont="1" applyFill="1" applyBorder="1" applyAlignment="1">
      <alignment horizontal="right" vertical="center" wrapText="1"/>
    </xf>
    <xf numFmtId="0" fontId="29" fillId="6" borderId="3" xfId="0" applyFont="1" applyFill="1" applyBorder="1" applyAlignment="1">
      <alignment horizontal="center" vertical="center" wrapText="1"/>
    </xf>
    <xf numFmtId="0" fontId="29" fillId="6" borderId="3" xfId="0" applyFont="1" applyFill="1" applyBorder="1" applyAlignment="1">
      <alignment horizontal="left" vertical="center"/>
    </xf>
    <xf numFmtId="0" fontId="29" fillId="0" borderId="3" xfId="0" applyFont="1" applyBorder="1" applyAlignment="1">
      <alignment horizontal="left" vertical="center"/>
    </xf>
    <xf numFmtId="0" fontId="29" fillId="0" borderId="3" xfId="0" applyFont="1" applyBorder="1" applyAlignment="1">
      <alignment horizontal="justify" vertical="center" wrapText="1"/>
    </xf>
    <xf numFmtId="10" fontId="29" fillId="0" borderId="3" xfId="0" applyNumberFormat="1" applyFont="1" applyBorder="1" applyAlignment="1">
      <alignment horizontal="justify" vertical="center" wrapText="1"/>
    </xf>
    <xf numFmtId="0" fontId="29" fillId="6" borderId="3" xfId="0" applyFont="1" applyFill="1" applyBorder="1" applyAlignment="1">
      <alignment horizontal="right" vertical="center"/>
    </xf>
    <xf numFmtId="0" fontId="30" fillId="8" borderId="3" xfId="0" applyFont="1" applyFill="1" applyBorder="1" applyAlignment="1">
      <alignment horizontal="justify" vertical="center" wrapText="1"/>
    </xf>
    <xf numFmtId="0" fontId="14" fillId="0" borderId="5" xfId="0" applyFont="1" applyFill="1" applyBorder="1" applyAlignment="1">
      <alignment horizontal="left" vertical="center" wrapText="1" indent="1"/>
    </xf>
    <xf numFmtId="0" fontId="14" fillId="0" borderId="6" xfId="0" applyFont="1" applyFill="1" applyBorder="1" applyAlignment="1">
      <alignment horizontal="left" vertical="center" wrapText="1" indent="1"/>
    </xf>
    <xf numFmtId="0" fontId="14" fillId="0" borderId="7" xfId="0" applyFont="1" applyFill="1" applyBorder="1" applyAlignment="1">
      <alignment horizontal="left" vertical="center" wrapText="1" indent="1"/>
    </xf>
    <xf numFmtId="0" fontId="14" fillId="0" borderId="5" xfId="0" applyFont="1" applyBorder="1" applyAlignment="1">
      <alignment horizontal="left" vertical="center" wrapText="1" indent="1"/>
    </xf>
    <xf numFmtId="0" fontId="14" fillId="0" borderId="6" xfId="0" applyFont="1" applyBorder="1" applyAlignment="1">
      <alignment horizontal="left" vertical="center" wrapText="1" indent="1"/>
    </xf>
    <xf numFmtId="0" fontId="14" fillId="0" borderId="7" xfId="0" applyFont="1" applyBorder="1" applyAlignment="1">
      <alignment horizontal="left" vertical="center" wrapText="1" indent="1"/>
    </xf>
    <xf numFmtId="0" fontId="7" fillId="0" borderId="5" xfId="0" applyFont="1" applyFill="1" applyBorder="1" applyAlignment="1">
      <alignment horizontal="left" indent="1"/>
    </xf>
    <xf numFmtId="0" fontId="7" fillId="0" borderId="6" xfId="0" applyFont="1" applyFill="1" applyBorder="1" applyAlignment="1">
      <alignment horizontal="left" indent="1"/>
    </xf>
    <xf numFmtId="0" fontId="7" fillId="0" borderId="7" xfId="0" applyFont="1" applyFill="1" applyBorder="1" applyAlignment="1">
      <alignment horizontal="left" indent="1"/>
    </xf>
    <xf numFmtId="0" fontId="29" fillId="6" borderId="3" xfId="0" applyFont="1" applyFill="1" applyBorder="1" applyAlignment="1">
      <alignment horizontal="center" vertical="center"/>
    </xf>
    <xf numFmtId="0" fontId="29" fillId="0" borderId="4" xfId="0" applyFont="1" applyBorder="1" applyAlignment="1">
      <alignment horizontal="left" vertical="center" wrapText="1"/>
    </xf>
    <xf numFmtId="0" fontId="30" fillId="6" borderId="3" xfId="0" applyFont="1" applyFill="1" applyBorder="1" applyAlignment="1"/>
    <xf numFmtId="0" fontId="29" fillId="6" borderId="3" xfId="0" applyFont="1" applyFill="1" applyBorder="1" applyAlignment="1"/>
    <xf numFmtId="0" fontId="29" fillId="0" borderId="3" xfId="0" applyFont="1" applyBorder="1" applyAlignment="1">
      <alignment horizontal="right" vertical="center"/>
    </xf>
    <xf numFmtId="0" fontId="30" fillId="0" borderId="3" xfId="0" applyFont="1" applyBorder="1" applyAlignment="1">
      <alignment horizontal="left" vertical="center"/>
    </xf>
    <xf numFmtId="0" fontId="7" fillId="0" borderId="5" xfId="0" applyFont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29" fillId="0" borderId="3" xfId="0" applyFont="1" applyBorder="1" applyAlignment="1">
      <alignment horizontal="right" vertical="center" wrapText="1"/>
    </xf>
    <xf numFmtId="0" fontId="29" fillId="0" borderId="5" xfId="0" applyFont="1" applyBorder="1" applyAlignment="1">
      <alignment horizontal="center" vertical="center"/>
    </xf>
    <xf numFmtId="0" fontId="29" fillId="0" borderId="9" xfId="0" applyFont="1" applyBorder="1" applyAlignment="1">
      <alignment horizontal="left" vertical="center"/>
    </xf>
    <xf numFmtId="0" fontId="29" fillId="0" borderId="17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18" xfId="0" applyFont="1" applyBorder="1" applyAlignment="1">
      <alignment horizontal="left" vertical="center"/>
    </xf>
    <xf numFmtId="0" fontId="29" fillId="0" borderId="2" xfId="0" applyFont="1" applyBorder="1" applyAlignment="1">
      <alignment horizontal="left" vertical="center"/>
    </xf>
    <xf numFmtId="0" fontId="29" fillId="0" borderId="19" xfId="0" applyFont="1" applyBorder="1" applyAlignment="1">
      <alignment horizontal="left" vertical="center"/>
    </xf>
    <xf numFmtId="49" fontId="29" fillId="0" borderId="3" xfId="0" applyNumberFormat="1" applyFont="1" applyBorder="1" applyAlignment="1">
      <alignment horizontal="left" vertical="center" wrapText="1"/>
    </xf>
    <xf numFmtId="0" fontId="29" fillId="6" borderId="3" xfId="0" applyFont="1" applyFill="1" applyBorder="1" applyAlignment="1">
      <alignment vertical="center" wrapText="1"/>
    </xf>
    <xf numFmtId="0" fontId="37" fillId="7" borderId="6" xfId="0" applyFont="1" applyFill="1" applyBorder="1" applyAlignment="1"/>
    <xf numFmtId="0" fontId="36" fillId="0" borderId="3" xfId="0" applyFont="1" applyBorder="1" applyAlignment="1">
      <alignment horizontal="left" vertical="center" wrapText="1"/>
    </xf>
    <xf numFmtId="1" fontId="36" fillId="0" borderId="3" xfId="0" applyNumberFormat="1" applyFont="1" applyBorder="1" applyAlignment="1">
      <alignment horizontal="center" vertical="center" wrapText="1"/>
    </xf>
    <xf numFmtId="0" fontId="36" fillId="0" borderId="3" xfId="0" applyFont="1" applyBorder="1" applyAlignment="1">
      <alignment horizontal="justify" vertical="center" wrapText="1"/>
    </xf>
    <xf numFmtId="167" fontId="36" fillId="0" borderId="3" xfId="0" applyNumberFormat="1" applyFont="1" applyBorder="1" applyAlignment="1">
      <alignment horizontal="center" vertical="center"/>
    </xf>
    <xf numFmtId="167" fontId="36" fillId="0" borderId="3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vertical="center" wrapText="1"/>
    </xf>
    <xf numFmtId="49" fontId="20" fillId="13" borderId="1" xfId="0" applyNumberFormat="1" applyFont="1" applyFill="1" applyBorder="1" applyAlignment="1">
      <alignment horizontal="right" vertical="center" wrapText="1"/>
    </xf>
    <xf numFmtId="0" fontId="18" fillId="0" borderId="1" xfId="0" applyFont="1" applyBorder="1" applyAlignment="1"/>
    <xf numFmtId="0" fontId="20" fillId="0" borderId="1" xfId="0" applyFont="1" applyBorder="1" applyAlignment="1">
      <alignment horizontal="left" vertical="center" wrapText="1"/>
    </xf>
    <xf numFmtId="167" fontId="20" fillId="13" borderId="1" xfId="0" applyNumberFormat="1" applyFont="1" applyFill="1" applyBorder="1" applyAlignment="1">
      <alignment horizontal="center" vertical="center" wrapText="1"/>
    </xf>
    <xf numFmtId="0" fontId="20" fillId="10" borderId="1" xfId="0" applyFont="1" applyFill="1" applyBorder="1" applyAlignment="1">
      <alignment horizontal="center" vertical="center" wrapText="1"/>
    </xf>
    <xf numFmtId="49" fontId="20" fillId="3" borderId="1" xfId="0" applyNumberFormat="1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right" vertical="center" wrapText="1"/>
    </xf>
    <xf numFmtId="0" fontId="20" fillId="0" borderId="1" xfId="0" applyFont="1" applyBorder="1" applyAlignment="1">
      <alignment horizontal="left" vertical="center"/>
    </xf>
    <xf numFmtId="0" fontId="20" fillId="2" borderId="1" xfId="0" applyFont="1" applyFill="1" applyBorder="1" applyAlignment="1">
      <alignment horizontal="right" vertical="center"/>
    </xf>
    <xf numFmtId="0" fontId="20" fillId="0" borderId="1" xfId="0" applyFont="1" applyBorder="1" applyAlignment="1">
      <alignment horizontal="right" vertical="center" wrapText="1"/>
    </xf>
    <xf numFmtId="4" fontId="20" fillId="0" borderId="1" xfId="0" applyNumberFormat="1" applyFont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 wrapText="1"/>
    </xf>
    <xf numFmtId="0" fontId="20" fillId="12" borderId="1" xfId="0" applyFont="1" applyFill="1" applyBorder="1" applyAlignment="1">
      <alignment horizontal="center" vertical="center"/>
    </xf>
    <xf numFmtId="0" fontId="20" fillId="1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right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right" vertical="center"/>
    </xf>
    <xf numFmtId="0" fontId="18" fillId="2" borderId="1" xfId="0" applyFont="1" applyFill="1" applyBorder="1" applyAlignment="1"/>
    <xf numFmtId="0" fontId="20" fillId="2" borderId="1" xfId="0" applyFont="1" applyFill="1" applyBorder="1" applyAlignment="1">
      <alignment horizontal="left" vertical="center" wrapText="1"/>
    </xf>
    <xf numFmtId="0" fontId="20" fillId="11" borderId="1" xfId="0" applyFont="1" applyFill="1" applyBorder="1" applyAlignment="1">
      <alignment horizontal="center" vertical="center" wrapText="1"/>
    </xf>
    <xf numFmtId="0" fontId="20" fillId="11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20" fillId="4" borderId="1" xfId="0" applyFont="1" applyFill="1" applyBorder="1" applyAlignment="1">
      <alignment horizontal="left" vertical="center"/>
    </xf>
    <xf numFmtId="164" fontId="20" fillId="0" borderId="1" xfId="0" applyNumberFormat="1" applyFont="1" applyBorder="1" applyAlignment="1">
      <alignment horizontal="right" vertical="center" wrapText="1"/>
    </xf>
    <xf numFmtId="173" fontId="20" fillId="0" borderId="1" xfId="0" applyNumberFormat="1" applyFont="1" applyBorder="1" applyAlignment="1">
      <alignment horizontal="right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/>
    </xf>
    <xf numFmtId="49" fontId="20" fillId="3" borderId="1" xfId="0" applyNumberFormat="1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indent="2"/>
    </xf>
    <xf numFmtId="0" fontId="20" fillId="0" borderId="1" xfId="0" applyFont="1" applyBorder="1" applyAlignment="1">
      <alignment horizontal="left" vertical="center" wrapText="1" indent="2"/>
    </xf>
    <xf numFmtId="0" fontId="20" fillId="0" borderId="1" xfId="0" applyFont="1" applyBorder="1" applyAlignment="1">
      <alignment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0" fontId="18" fillId="8" borderId="1" xfId="0" applyFont="1" applyFill="1" applyBorder="1" applyAlignment="1"/>
    <xf numFmtId="0" fontId="20" fillId="0" borderId="1" xfId="0" applyFont="1" applyBorder="1" applyAlignment="1">
      <alignment horizontal="justify" vertical="center" wrapText="1"/>
    </xf>
    <xf numFmtId="4" fontId="20" fillId="13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justify" vertical="center" wrapText="1"/>
    </xf>
    <xf numFmtId="49" fontId="20" fillId="4" borderId="1" xfId="0" applyNumberFormat="1" applyFont="1" applyFill="1" applyBorder="1" applyAlignment="1">
      <alignment horizontal="right" vertical="center" wrapText="1"/>
    </xf>
    <xf numFmtId="0" fontId="20" fillId="0" borderId="14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5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0" fillId="0" borderId="16" xfId="0" applyFont="1" applyBorder="1" applyAlignment="1">
      <alignment horizontal="left" vertical="center"/>
    </xf>
    <xf numFmtId="0" fontId="18" fillId="8" borderId="12" xfId="0" applyFont="1" applyFill="1" applyBorder="1" applyAlignment="1"/>
    <xf numFmtId="0" fontId="20" fillId="2" borderId="1" xfId="0" applyFont="1" applyFill="1" applyBorder="1" applyAlignment="1">
      <alignment horizontal="justify" vertical="center" wrapText="1"/>
    </xf>
    <xf numFmtId="0" fontId="20" fillId="4" borderId="1" xfId="0" applyFont="1" applyFill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justify" vertical="center" wrapText="1"/>
    </xf>
    <xf numFmtId="0" fontId="7" fillId="2" borderId="1" xfId="0" applyFont="1" applyFill="1" applyBorder="1" applyAlignment="1">
      <alignment horizontal="right" vertical="center" wrapText="1"/>
    </xf>
    <xf numFmtId="164" fontId="20" fillId="0" borderId="1" xfId="0" applyNumberFormat="1" applyFont="1" applyBorder="1" applyAlignment="1">
      <alignment horizontal="right" vertical="center"/>
    </xf>
    <xf numFmtId="4" fontId="20" fillId="0" borderId="1" xfId="0" applyNumberFormat="1" applyFont="1" applyBorder="1" applyAlignment="1">
      <alignment horizontal="right" vertical="center" wrapText="1"/>
    </xf>
    <xf numFmtId="0" fontId="18" fillId="0" borderId="0" xfId="0" applyFont="1" applyAlignment="1"/>
    <xf numFmtId="167" fontId="20" fillId="0" borderId="1" xfId="0" applyNumberFormat="1" applyFont="1" applyBorder="1" applyAlignment="1" applyProtection="1">
      <alignment horizontal="right" vertical="center"/>
      <protection locked="0"/>
    </xf>
    <xf numFmtId="165" fontId="20" fillId="0" borderId="1" xfId="0" applyNumberFormat="1" applyFont="1" applyBorder="1" applyAlignment="1">
      <alignment horizontal="right" vertical="center" wrapText="1"/>
    </xf>
    <xf numFmtId="164" fontId="20" fillId="0" borderId="1" xfId="0" applyNumberFormat="1" applyFont="1" applyBorder="1" applyAlignment="1">
      <alignment horizontal="center" vertical="center" wrapText="1"/>
    </xf>
    <xf numFmtId="173" fontId="20" fillId="0" borderId="1" xfId="0" applyNumberFormat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right" vertical="center"/>
    </xf>
  </cellXfs>
  <cellStyles count="5">
    <cellStyle name="Moeda" xfId="2" builtinId="4"/>
    <cellStyle name="Normal" xfId="0" builtinId="0"/>
    <cellStyle name="Normal 2" xfId="3" xr:uid="{00000000-0005-0000-0000-000006000000}"/>
    <cellStyle name="Porcentagem" xfId="4" builtinId="5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9900"/>
      <rgbColor rgb="FF000080"/>
      <rgbColor rgb="FF548235"/>
      <rgbColor rgb="FF800080"/>
      <rgbColor rgb="FF008080"/>
      <rgbColor rgb="FFCCCCCC"/>
      <rgbColor rgb="FF669966"/>
      <rgbColor rgb="FFB2B2B2"/>
      <rgbColor rgb="FF993366"/>
      <rgbColor rgb="FFEEEEEE"/>
      <rgbColor rgb="FFE2F0D9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99"/>
      <rgbColor rgb="FFCC9999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C9211E"/>
      <rgbColor rgb="FF993366"/>
      <rgbColor rgb="FF333399"/>
      <rgbColor rgb="FF3366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9"/>
  <sheetViews>
    <sheetView tabSelected="1" view="pageBreakPreview" zoomScale="130" zoomScaleNormal="100" zoomScaleSheetLayoutView="130" workbookViewId="0">
      <selection activeCell="C13" sqref="C13"/>
    </sheetView>
  </sheetViews>
  <sheetFormatPr defaultColWidth="10.5" defaultRowHeight="14" x14ac:dyDescent="0.3"/>
  <cols>
    <col min="1" max="1" width="6.33203125" customWidth="1"/>
    <col min="2" max="2" width="5.4140625" customWidth="1"/>
    <col min="3" max="3" width="40.6640625" customWidth="1"/>
    <col min="4" max="4" width="11.58203125" customWidth="1"/>
    <col min="5" max="5" width="13.5" customWidth="1"/>
    <col min="6" max="6" width="13.4140625" customWidth="1"/>
    <col min="7" max="7" width="16.1640625" customWidth="1"/>
    <col min="8" max="8" width="12.75" bestFit="1" customWidth="1"/>
  </cols>
  <sheetData>
    <row r="2" spans="1:8" ht="29.15" customHeight="1" x14ac:dyDescent="0.3">
      <c r="A2" s="294" t="s">
        <v>449</v>
      </c>
      <c r="B2" s="294"/>
      <c r="C2" s="294"/>
      <c r="D2" s="294"/>
      <c r="E2" s="294"/>
      <c r="F2" s="294"/>
      <c r="G2" s="294"/>
    </row>
    <row r="3" spans="1:8" ht="38" customHeight="1" x14ac:dyDescent="0.3">
      <c r="A3" s="278" t="s">
        <v>450</v>
      </c>
      <c r="B3" s="278" t="s">
        <v>369</v>
      </c>
      <c r="C3" s="278" t="s">
        <v>370</v>
      </c>
      <c r="D3" s="278" t="s">
        <v>371</v>
      </c>
      <c r="E3" s="278" t="s">
        <v>399</v>
      </c>
      <c r="F3" s="278" t="s">
        <v>372</v>
      </c>
      <c r="G3" s="278" t="s">
        <v>448</v>
      </c>
    </row>
    <row r="4" spans="1:8" ht="14.5" x14ac:dyDescent="0.3">
      <c r="A4" s="295">
        <v>1</v>
      </c>
      <c r="B4" s="292">
        <v>1</v>
      </c>
      <c r="C4" s="279" t="s">
        <v>389</v>
      </c>
      <c r="D4" s="292">
        <v>1</v>
      </c>
      <c r="E4" s="292">
        <v>1</v>
      </c>
      <c r="F4" s="280">
        <f>'Vigilante 44h Diurno DRF-TSA-PI'!I188</f>
        <v>6760.26</v>
      </c>
      <c r="G4" s="280">
        <f>F4*24</f>
        <v>162246.24</v>
      </c>
    </row>
    <row r="5" spans="1:8" ht="14.5" x14ac:dyDescent="0.3">
      <c r="A5" s="295"/>
      <c r="B5" s="292">
        <v>2</v>
      </c>
      <c r="C5" s="279" t="s">
        <v>390</v>
      </c>
      <c r="D5" s="292">
        <v>1</v>
      </c>
      <c r="E5" s="292">
        <v>1</v>
      </c>
      <c r="F5" s="280">
        <f>'Vigilante 44h Diurno ARF-PBA-PI'!I188</f>
        <v>6671.06</v>
      </c>
      <c r="G5" s="280">
        <f t="shared" ref="G5:G6" si="0">F5*24</f>
        <v>160105.44</v>
      </c>
    </row>
    <row r="6" spans="1:8" ht="14.5" x14ac:dyDescent="0.3">
      <c r="A6" s="295"/>
      <c r="B6" s="292">
        <v>3</v>
      </c>
      <c r="C6" s="279" t="s">
        <v>391</v>
      </c>
      <c r="D6" s="292">
        <v>1</v>
      </c>
      <c r="E6" s="292">
        <v>1</v>
      </c>
      <c r="F6" s="280">
        <f>'Vigilante 44h Diurno ARF-FLO-PI'!I188</f>
        <v>6671.06</v>
      </c>
      <c r="G6" s="280">
        <f t="shared" si="0"/>
        <v>160105.44</v>
      </c>
    </row>
    <row r="7" spans="1:8" ht="14.5" x14ac:dyDescent="0.3">
      <c r="A7" s="295"/>
      <c r="B7" s="292">
        <v>4</v>
      </c>
      <c r="C7" s="279" t="s">
        <v>392</v>
      </c>
      <c r="D7" s="292">
        <v>1</v>
      </c>
      <c r="E7" s="292">
        <v>2</v>
      </c>
      <c r="F7" s="280">
        <f>'Vigilante 12x36 Diurno DMA-TSA'!I191</f>
        <v>13184.64</v>
      </c>
      <c r="G7" s="280">
        <f t="shared" ref="G7:G8" si="1">F7*24</f>
        <v>316431.35999999999</v>
      </c>
    </row>
    <row r="8" spans="1:8" ht="16.5" customHeight="1" x14ac:dyDescent="0.3">
      <c r="A8" s="295"/>
      <c r="B8" s="292">
        <v>5</v>
      </c>
      <c r="C8" s="279" t="s">
        <v>393</v>
      </c>
      <c r="D8" s="292">
        <v>1</v>
      </c>
      <c r="E8" s="292">
        <v>2</v>
      </c>
      <c r="F8" s="280">
        <f>'Vigilante 12x36 Noturno DMA'!I191</f>
        <v>15997.38</v>
      </c>
      <c r="G8" s="280">
        <f t="shared" si="1"/>
        <v>383937.12</v>
      </c>
      <c r="H8" s="197"/>
    </row>
    <row r="9" spans="1:8" s="196" customFormat="1" ht="25" customHeight="1" x14ac:dyDescent="0.3">
      <c r="A9" s="296" t="s">
        <v>350</v>
      </c>
      <c r="B9" s="296"/>
      <c r="C9" s="296"/>
      <c r="D9" s="291">
        <f>SUM(D4:D8)</f>
        <v>5</v>
      </c>
      <c r="E9" s="291">
        <f>SUM(E4:E8)</f>
        <v>7</v>
      </c>
      <c r="F9" s="281">
        <f>SUM(F4:F8)</f>
        <v>49284.4</v>
      </c>
      <c r="G9" s="281">
        <f>SUM(G4:G8)</f>
        <v>1182825.6000000001</v>
      </c>
    </row>
  </sheetData>
  <sheetProtection algorithmName="SHA-512" hashValue="F1jGUSFcLATiUGKzS854Y7lMlshYJzIQDhk2ITCBxrn7OKb7B8NtNINbag4IUvWayAEDs5QPmsl2X0/43FBYfg==" saltValue="4tWIB++G8+TKStXdHimMwg==" spinCount="100000" sheet="1" objects="1" scenarios="1"/>
  <mergeCells count="3">
    <mergeCell ref="A2:G2"/>
    <mergeCell ref="A4:A8"/>
    <mergeCell ref="A9:C9"/>
  </mergeCells>
  <printOptions horizontalCentered="1"/>
  <pageMargins left="0.27559055118110237" right="0.27559055118110237" top="1.0629921259842521" bottom="1.0629921259842521" header="0.78740157480314965" footer="0.78740157480314965"/>
  <pageSetup paperSize="9" scale="79" orientation="portrait" horizontalDpi="300" verticalDpi="300" r:id="rId1"/>
  <headerFooter>
    <oddHeader>&amp;L&amp;A&amp;C&amp;"Times New Roman,Normal"&amp;12&amp;KFFFFFF&amp;A</oddHeader>
    <oddFooter>&amp;C&amp;"Times New Roman,Normal"&amp;12&amp;KffffffPágina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150"/>
  <sheetViews>
    <sheetView zoomScaleNormal="100" workbookViewId="0"/>
  </sheetViews>
  <sheetFormatPr defaultColWidth="8.83203125" defaultRowHeight="14.5" x14ac:dyDescent="0.35"/>
  <cols>
    <col min="1" max="1" width="3.58203125" style="82" customWidth="1"/>
    <col min="2" max="8" width="10.33203125" style="82" customWidth="1"/>
    <col min="9" max="9" width="11.33203125" style="82" customWidth="1"/>
    <col min="10" max="10" width="13.33203125" style="82" customWidth="1"/>
    <col min="11" max="11" width="10.33203125" style="82" customWidth="1"/>
    <col min="12" max="1024" width="8.83203125" style="82"/>
  </cols>
  <sheetData>
    <row r="1" spans="1:10" ht="15" customHeight="1" x14ac:dyDescent="0.35">
      <c r="A1" s="595" t="s">
        <v>205</v>
      </c>
      <c r="B1" s="595"/>
      <c r="C1" s="595"/>
      <c r="D1" s="595"/>
      <c r="E1" s="595"/>
      <c r="F1" s="595"/>
      <c r="G1" s="595"/>
      <c r="H1" s="595"/>
      <c r="I1" s="595"/>
      <c r="J1" s="595"/>
    </row>
    <row r="2" spans="1:10" ht="15" customHeight="1" x14ac:dyDescent="0.35">
      <c r="A2" s="596" t="s">
        <v>30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15" customHeight="1" x14ac:dyDescent="0.35">
      <c r="A3" s="568" t="s">
        <v>206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ht="15" customHeight="1" x14ac:dyDescent="0.35">
      <c r="A4" s="568" t="s">
        <v>207</v>
      </c>
      <c r="B4" s="568"/>
      <c r="C4" s="568"/>
      <c r="D4" s="568"/>
      <c r="E4" s="568"/>
      <c r="F4" s="568"/>
      <c r="G4" s="568"/>
      <c r="H4" s="568"/>
      <c r="I4" s="568"/>
      <c r="J4" s="568"/>
    </row>
    <row r="5" spans="1:10" x14ac:dyDescent="0.35">
      <c r="A5" s="567"/>
      <c r="B5" s="567"/>
      <c r="C5" s="567"/>
      <c r="D5" s="567"/>
      <c r="E5" s="567"/>
      <c r="F5" s="567"/>
      <c r="G5" s="567"/>
      <c r="H5" s="567"/>
      <c r="I5" s="567"/>
      <c r="J5" s="567"/>
    </row>
    <row r="6" spans="1:10" ht="15" customHeight="1" x14ac:dyDescent="0.35">
      <c r="A6" s="570" t="s">
        <v>33</v>
      </c>
      <c r="B6" s="570"/>
      <c r="C6" s="570"/>
      <c r="D6" s="570"/>
      <c r="E6" s="570"/>
      <c r="F6" s="570"/>
      <c r="G6" s="570"/>
      <c r="H6" s="570"/>
      <c r="I6" s="570"/>
      <c r="J6" s="570"/>
    </row>
    <row r="7" spans="1:10" ht="15" customHeight="1" x14ac:dyDescent="0.35">
      <c r="A7" s="67" t="s">
        <v>34</v>
      </c>
      <c r="B7" s="568" t="s">
        <v>35</v>
      </c>
      <c r="C7" s="568"/>
      <c r="D7" s="568"/>
      <c r="E7" s="568"/>
      <c r="F7" s="568"/>
      <c r="G7" s="568"/>
      <c r="H7" s="597" t="s">
        <v>164</v>
      </c>
      <c r="I7" s="597"/>
      <c r="J7" s="597"/>
    </row>
    <row r="8" spans="1:10" ht="15" customHeight="1" x14ac:dyDescent="0.35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  <c r="J8" s="593"/>
    </row>
    <row r="9" spans="1:10" ht="15" customHeight="1" x14ac:dyDescent="0.35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208</v>
      </c>
      <c r="I9" s="593"/>
      <c r="J9" s="593"/>
    </row>
    <row r="10" spans="1:10" ht="15" customHeight="1" x14ac:dyDescent="0.35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  <c r="J10" s="594"/>
    </row>
    <row r="11" spans="1:10" x14ac:dyDescent="0.35">
      <c r="A11" s="567"/>
      <c r="B11" s="567"/>
      <c r="C11" s="567"/>
      <c r="D11" s="567"/>
      <c r="E11" s="567"/>
      <c r="F11" s="567"/>
      <c r="G11" s="567"/>
      <c r="H11" s="567"/>
      <c r="I11" s="567"/>
      <c r="J11" s="567"/>
    </row>
    <row r="12" spans="1:10" ht="42" customHeight="1" x14ac:dyDescent="0.35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  <c r="J12" s="570"/>
    </row>
    <row r="13" spans="1:10" x14ac:dyDescent="0.35">
      <c r="A13" s="567"/>
      <c r="B13" s="567"/>
      <c r="C13" s="567"/>
      <c r="D13" s="567"/>
      <c r="E13" s="567"/>
      <c r="F13" s="567"/>
      <c r="G13" s="567"/>
      <c r="H13" s="567"/>
      <c r="I13" s="567"/>
      <c r="J13" s="567"/>
    </row>
    <row r="14" spans="1:10" ht="15" customHeight="1" x14ac:dyDescent="0.35">
      <c r="A14" s="586" t="s">
        <v>210</v>
      </c>
      <c r="B14" s="586"/>
      <c r="C14" s="586"/>
      <c r="D14" s="586"/>
      <c r="E14" s="586"/>
      <c r="F14" s="586"/>
      <c r="G14" s="586"/>
      <c r="H14" s="586"/>
      <c r="I14" s="586"/>
      <c r="J14" s="586"/>
    </row>
    <row r="15" spans="1:10" ht="15" customHeight="1" x14ac:dyDescent="0.35">
      <c r="A15" s="67">
        <v>1</v>
      </c>
      <c r="B15" s="568" t="s">
        <v>48</v>
      </c>
      <c r="C15" s="568"/>
      <c r="D15" s="568"/>
      <c r="E15" s="568"/>
      <c r="F15" s="568"/>
      <c r="G15" s="568"/>
      <c r="H15" s="575" t="s">
        <v>211</v>
      </c>
      <c r="I15" s="575"/>
      <c r="J15" s="575"/>
    </row>
    <row r="16" spans="1:10" ht="15" customHeight="1" x14ac:dyDescent="0.35">
      <c r="A16" s="67">
        <v>2</v>
      </c>
      <c r="B16" s="568" t="s">
        <v>49</v>
      </c>
      <c r="C16" s="568"/>
      <c r="D16" s="568"/>
      <c r="E16" s="568"/>
      <c r="F16" s="568"/>
      <c r="G16" s="568"/>
      <c r="H16" s="575">
        <v>5134</v>
      </c>
      <c r="I16" s="575"/>
      <c r="J16" s="575"/>
    </row>
    <row r="17" spans="1:10" ht="15" customHeight="1" x14ac:dyDescent="0.35">
      <c r="A17" s="67">
        <v>3</v>
      </c>
      <c r="B17" s="568" t="s">
        <v>212</v>
      </c>
      <c r="C17" s="568"/>
      <c r="D17" s="568"/>
      <c r="E17" s="568"/>
      <c r="F17" s="568"/>
      <c r="G17" s="568"/>
      <c r="H17" s="591">
        <v>1224.55</v>
      </c>
      <c r="I17" s="591"/>
      <c r="J17" s="591"/>
    </row>
    <row r="18" spans="1:10" ht="15" customHeight="1" x14ac:dyDescent="0.35">
      <c r="A18" s="67">
        <v>4</v>
      </c>
      <c r="B18" s="568" t="s">
        <v>51</v>
      </c>
      <c r="C18" s="568"/>
      <c r="D18" s="568"/>
      <c r="E18" s="568"/>
      <c r="F18" s="568"/>
      <c r="G18" s="568"/>
      <c r="H18" s="575" t="s">
        <v>211</v>
      </c>
      <c r="I18" s="575"/>
      <c r="J18" s="575"/>
    </row>
    <row r="19" spans="1:10" ht="15" customHeight="1" x14ac:dyDescent="0.35">
      <c r="A19" s="67">
        <v>5</v>
      </c>
      <c r="B19" s="568" t="s">
        <v>213</v>
      </c>
      <c r="C19" s="568"/>
      <c r="D19" s="568"/>
      <c r="E19" s="568"/>
      <c r="F19" s="568"/>
      <c r="G19" s="568"/>
      <c r="H19" s="592">
        <v>43831</v>
      </c>
      <c r="I19" s="592"/>
      <c r="J19" s="592"/>
    </row>
    <row r="20" spans="1:10" x14ac:dyDescent="0.35">
      <c r="A20" s="567"/>
      <c r="B20" s="567"/>
      <c r="C20" s="567"/>
      <c r="D20" s="567"/>
      <c r="E20" s="567"/>
      <c r="F20" s="567"/>
      <c r="G20" s="567"/>
      <c r="H20" s="567"/>
      <c r="I20" s="567"/>
      <c r="J20" s="567"/>
    </row>
    <row r="21" spans="1:10" ht="15" customHeight="1" x14ac:dyDescent="0.35">
      <c r="A21" s="577" t="s">
        <v>214</v>
      </c>
      <c r="B21" s="577"/>
      <c r="C21" s="577"/>
      <c r="D21" s="577"/>
      <c r="E21" s="577"/>
      <c r="F21" s="577"/>
      <c r="G21" s="577"/>
      <c r="H21" s="577"/>
      <c r="I21" s="577"/>
      <c r="J21" s="577"/>
    </row>
    <row r="22" spans="1:10" ht="15" customHeight="1" x14ac:dyDescent="0.35">
      <c r="A22" s="70">
        <v>1</v>
      </c>
      <c r="B22" s="579" t="s">
        <v>65</v>
      </c>
      <c r="C22" s="579"/>
      <c r="D22" s="579"/>
      <c r="E22" s="579"/>
      <c r="F22" s="579"/>
      <c r="G22" s="579"/>
      <c r="H22" s="579"/>
      <c r="I22" s="579"/>
      <c r="J22" s="70" t="s">
        <v>85</v>
      </c>
    </row>
    <row r="23" spans="1:10" ht="15" customHeight="1" x14ac:dyDescent="0.35">
      <c r="A23" s="67" t="s">
        <v>34</v>
      </c>
      <c r="B23" s="568" t="s">
        <v>215</v>
      </c>
      <c r="C23" s="568"/>
      <c r="D23" s="568"/>
      <c r="E23" s="568"/>
      <c r="F23" s="568"/>
      <c r="G23" s="568"/>
      <c r="H23" s="568"/>
      <c r="I23" s="568"/>
      <c r="J23" s="71">
        <f>H17</f>
        <v>1224.55</v>
      </c>
    </row>
    <row r="24" spans="1:10" ht="15" customHeight="1" x14ac:dyDescent="0.35">
      <c r="A24" s="67" t="s">
        <v>36</v>
      </c>
      <c r="B24" s="568" t="s">
        <v>74</v>
      </c>
      <c r="C24" s="568"/>
      <c r="D24" s="568"/>
      <c r="E24" s="568"/>
      <c r="F24" s="568"/>
      <c r="G24" s="568"/>
      <c r="H24" s="568"/>
      <c r="I24" s="568"/>
      <c r="J24" s="72"/>
    </row>
    <row r="25" spans="1:10" ht="15" customHeight="1" x14ac:dyDescent="0.35">
      <c r="A25" s="580" t="s">
        <v>75</v>
      </c>
      <c r="B25" s="580"/>
      <c r="C25" s="580"/>
      <c r="D25" s="580"/>
      <c r="E25" s="580"/>
      <c r="F25" s="580"/>
      <c r="G25" s="580"/>
      <c r="H25" s="580"/>
      <c r="I25" s="580"/>
      <c r="J25" s="73">
        <f>SUM(J23:J24)</f>
        <v>1224.55</v>
      </c>
    </row>
    <row r="26" spans="1:10" x14ac:dyDescent="0.35">
      <c r="A26" s="567"/>
      <c r="B26" s="567"/>
      <c r="C26" s="567"/>
      <c r="D26" s="567"/>
      <c r="E26" s="567"/>
      <c r="F26" s="567"/>
      <c r="G26" s="567"/>
      <c r="H26" s="567"/>
      <c r="I26" s="567"/>
      <c r="J26" s="567"/>
    </row>
    <row r="27" spans="1:10" ht="15" customHeight="1" x14ac:dyDescent="0.35">
      <c r="A27" s="577" t="s">
        <v>216</v>
      </c>
      <c r="B27" s="577"/>
      <c r="C27" s="577"/>
      <c r="D27" s="577"/>
      <c r="E27" s="577"/>
      <c r="F27" s="577"/>
      <c r="G27" s="577"/>
      <c r="H27" s="577"/>
      <c r="I27" s="577"/>
      <c r="J27" s="577"/>
    </row>
    <row r="28" spans="1:10" x14ac:dyDescent="0.35">
      <c r="A28" s="587" t="s">
        <v>217</v>
      </c>
      <c r="B28" s="587"/>
      <c r="C28" s="587"/>
      <c r="D28" s="587"/>
      <c r="E28" s="587"/>
      <c r="F28" s="587"/>
      <c r="G28" s="587"/>
      <c r="H28" s="587"/>
      <c r="I28" s="587"/>
      <c r="J28" s="587"/>
    </row>
    <row r="29" spans="1:10" x14ac:dyDescent="0.35">
      <c r="A29" s="74" t="s">
        <v>82</v>
      </c>
      <c r="B29" s="590" t="s">
        <v>118</v>
      </c>
      <c r="C29" s="590"/>
      <c r="D29" s="590"/>
      <c r="E29" s="590"/>
      <c r="F29" s="590"/>
      <c r="G29" s="590"/>
      <c r="H29" s="590"/>
      <c r="I29" s="590"/>
      <c r="J29" s="75" t="s">
        <v>85</v>
      </c>
    </row>
    <row r="30" spans="1:10" ht="37.5" customHeight="1" x14ac:dyDescent="0.35">
      <c r="A30" s="76" t="s">
        <v>34</v>
      </c>
      <c r="B30" s="568" t="s">
        <v>218</v>
      </c>
      <c r="C30" s="568"/>
      <c r="D30" s="568"/>
      <c r="E30" s="568"/>
      <c r="F30" s="568"/>
      <c r="G30" s="568"/>
      <c r="H30" s="568"/>
      <c r="I30" s="77">
        <v>8.3299999999999999E-2</v>
      </c>
      <c r="J30" s="78">
        <f>ROUND($J$25*I30,2)</f>
        <v>102.01</v>
      </c>
    </row>
    <row r="31" spans="1:10" ht="13.5" customHeight="1" x14ac:dyDescent="0.35">
      <c r="A31" s="76" t="s">
        <v>36</v>
      </c>
      <c r="B31" s="589" t="s">
        <v>87</v>
      </c>
      <c r="C31" s="589"/>
      <c r="D31" s="589"/>
      <c r="E31" s="589"/>
      <c r="F31" s="589"/>
      <c r="G31" s="589"/>
      <c r="H31" s="589"/>
      <c r="I31" s="79">
        <v>3.0249999999999999E-2</v>
      </c>
      <c r="J31" s="78">
        <f>ROUND($J$25*I31,2)</f>
        <v>37.04</v>
      </c>
    </row>
    <row r="32" spans="1:10" x14ac:dyDescent="0.35">
      <c r="A32" s="574" t="s">
        <v>75</v>
      </c>
      <c r="B32" s="574"/>
      <c r="C32" s="574"/>
      <c r="D32" s="574"/>
      <c r="E32" s="574"/>
      <c r="F32" s="574"/>
      <c r="G32" s="574"/>
      <c r="H32" s="574"/>
      <c r="I32" s="574"/>
      <c r="J32" s="80">
        <f>SUM(J30+J31)</f>
        <v>139.05000000000001</v>
      </c>
    </row>
    <row r="33" spans="1:10" x14ac:dyDescent="0.35">
      <c r="A33" s="76" t="s">
        <v>38</v>
      </c>
      <c r="B33" s="573" t="s">
        <v>219</v>
      </c>
      <c r="C33" s="573"/>
      <c r="D33" s="573"/>
      <c r="E33" s="573"/>
      <c r="F33" s="573"/>
      <c r="G33" s="573"/>
      <c r="H33" s="573"/>
      <c r="I33" s="573"/>
      <c r="J33" s="81">
        <f>ROUND(I46*J32,2)</f>
        <v>49.75</v>
      </c>
    </row>
    <row r="34" spans="1:10" x14ac:dyDescent="0.35">
      <c r="A34" s="574" t="s">
        <v>75</v>
      </c>
      <c r="B34" s="574"/>
      <c r="C34" s="574"/>
      <c r="D34" s="574"/>
      <c r="E34" s="574"/>
      <c r="F34" s="574"/>
      <c r="G34" s="574"/>
      <c r="H34" s="574"/>
      <c r="I34" s="574"/>
      <c r="J34" s="83">
        <f>J32+J33</f>
        <v>188.8</v>
      </c>
    </row>
    <row r="35" spans="1:10" x14ac:dyDescent="0.35">
      <c r="A35" s="567"/>
      <c r="B35" s="567"/>
      <c r="C35" s="567"/>
      <c r="D35" s="567"/>
      <c r="E35" s="567"/>
      <c r="F35" s="567"/>
      <c r="G35" s="567"/>
      <c r="H35" s="567"/>
      <c r="I35" s="567"/>
      <c r="J35" s="567"/>
    </row>
    <row r="36" spans="1:10" x14ac:dyDescent="0.35">
      <c r="A36" s="587" t="s">
        <v>220</v>
      </c>
      <c r="B36" s="587"/>
      <c r="C36" s="587"/>
      <c r="D36" s="587"/>
      <c r="E36" s="587"/>
      <c r="F36" s="587"/>
      <c r="G36" s="587"/>
      <c r="H36" s="587"/>
      <c r="I36" s="587"/>
      <c r="J36" s="587"/>
    </row>
    <row r="37" spans="1:10" x14ac:dyDescent="0.35">
      <c r="A37" s="74" t="s">
        <v>89</v>
      </c>
      <c r="B37" s="582" t="s">
        <v>90</v>
      </c>
      <c r="C37" s="582"/>
      <c r="D37" s="582"/>
      <c r="E37" s="582"/>
      <c r="F37" s="582"/>
      <c r="G37" s="582"/>
      <c r="H37" s="582"/>
      <c r="I37" s="75" t="s">
        <v>221</v>
      </c>
      <c r="J37" s="75" t="s">
        <v>85</v>
      </c>
    </row>
    <row r="38" spans="1:10" x14ac:dyDescent="0.35">
      <c r="A38" s="76" t="s">
        <v>34</v>
      </c>
      <c r="B38" s="573" t="s">
        <v>91</v>
      </c>
      <c r="C38" s="573"/>
      <c r="D38" s="573"/>
      <c r="E38" s="573"/>
      <c r="F38" s="573"/>
      <c r="G38" s="573"/>
      <c r="H38" s="573"/>
      <c r="I38" s="84">
        <v>0.2</v>
      </c>
      <c r="J38" s="81">
        <f t="shared" ref="J38:J45" si="0">ROUND($J$25*I38,2)</f>
        <v>244.91</v>
      </c>
    </row>
    <row r="39" spans="1:10" x14ac:dyDescent="0.35">
      <c r="A39" s="76" t="s">
        <v>36</v>
      </c>
      <c r="B39" s="573" t="s">
        <v>92</v>
      </c>
      <c r="C39" s="573"/>
      <c r="D39" s="573"/>
      <c r="E39" s="573"/>
      <c r="F39" s="573"/>
      <c r="G39" s="573"/>
      <c r="H39" s="573"/>
      <c r="I39" s="84">
        <v>2.5000000000000001E-2</v>
      </c>
      <c r="J39" s="81">
        <f t="shared" si="0"/>
        <v>30.61</v>
      </c>
    </row>
    <row r="40" spans="1:10" ht="37.5" customHeight="1" x14ac:dyDescent="0.35">
      <c r="A40" s="76" t="s">
        <v>38</v>
      </c>
      <c r="B40" s="568" t="s">
        <v>222</v>
      </c>
      <c r="C40" s="568"/>
      <c r="D40" s="568"/>
      <c r="E40" s="67" t="s">
        <v>94</v>
      </c>
      <c r="F40" s="85">
        <v>0.02</v>
      </c>
      <c r="G40" s="67" t="s">
        <v>95</v>
      </c>
      <c r="H40" s="86">
        <v>0.99</v>
      </c>
      <c r="I40" s="87">
        <f>ROUND((F40*H40),6)</f>
        <v>1.9800000000000002E-2</v>
      </c>
      <c r="J40" s="81">
        <f t="shared" si="0"/>
        <v>24.25</v>
      </c>
    </row>
    <row r="41" spans="1:10" x14ac:dyDescent="0.35">
      <c r="A41" s="76" t="s">
        <v>40</v>
      </c>
      <c r="B41" s="573" t="s">
        <v>96</v>
      </c>
      <c r="C41" s="573"/>
      <c r="D41" s="573"/>
      <c r="E41" s="573"/>
      <c r="F41" s="573"/>
      <c r="G41" s="573"/>
      <c r="H41" s="573"/>
      <c r="I41" s="84">
        <v>1.4999999999999999E-2</v>
      </c>
      <c r="J41" s="81">
        <f t="shared" si="0"/>
        <v>18.37</v>
      </c>
    </row>
    <row r="42" spans="1:10" x14ac:dyDescent="0.35">
      <c r="A42" s="76" t="s">
        <v>73</v>
      </c>
      <c r="B42" s="573" t="s">
        <v>97</v>
      </c>
      <c r="C42" s="573"/>
      <c r="D42" s="573"/>
      <c r="E42" s="573"/>
      <c r="F42" s="573"/>
      <c r="G42" s="573"/>
      <c r="H42" s="573"/>
      <c r="I42" s="84">
        <v>0.01</v>
      </c>
      <c r="J42" s="81">
        <f t="shared" si="0"/>
        <v>12.25</v>
      </c>
    </row>
    <row r="43" spans="1:10" x14ac:dyDescent="0.35">
      <c r="A43" s="76" t="s">
        <v>76</v>
      </c>
      <c r="B43" s="573" t="s">
        <v>98</v>
      </c>
      <c r="C43" s="573"/>
      <c r="D43" s="573"/>
      <c r="E43" s="573"/>
      <c r="F43" s="573"/>
      <c r="G43" s="573"/>
      <c r="H43" s="573"/>
      <c r="I43" s="84">
        <v>6.0000000000000001E-3</v>
      </c>
      <c r="J43" s="81">
        <f t="shared" si="0"/>
        <v>7.35</v>
      </c>
    </row>
    <row r="44" spans="1:10" x14ac:dyDescent="0.35">
      <c r="A44" s="76" t="s">
        <v>99</v>
      </c>
      <c r="B44" s="573" t="s">
        <v>100</v>
      </c>
      <c r="C44" s="573"/>
      <c r="D44" s="573"/>
      <c r="E44" s="573"/>
      <c r="F44" s="573"/>
      <c r="G44" s="573"/>
      <c r="H44" s="573"/>
      <c r="I44" s="84">
        <v>2E-3</v>
      </c>
      <c r="J44" s="81">
        <f t="shared" si="0"/>
        <v>2.4500000000000002</v>
      </c>
    </row>
    <row r="45" spans="1:10" x14ac:dyDescent="0.35">
      <c r="A45" s="76" t="s">
        <v>101</v>
      </c>
      <c r="B45" s="573" t="s">
        <v>102</v>
      </c>
      <c r="C45" s="573"/>
      <c r="D45" s="573"/>
      <c r="E45" s="573"/>
      <c r="F45" s="573"/>
      <c r="G45" s="573"/>
      <c r="H45" s="573"/>
      <c r="I45" s="84">
        <v>0.08</v>
      </c>
      <c r="J45" s="81">
        <f t="shared" si="0"/>
        <v>97.96</v>
      </c>
    </row>
    <row r="46" spans="1:10" x14ac:dyDescent="0.35">
      <c r="A46" s="574" t="s">
        <v>75</v>
      </c>
      <c r="B46" s="574"/>
      <c r="C46" s="574"/>
      <c r="D46" s="574"/>
      <c r="E46" s="574"/>
      <c r="F46" s="574"/>
      <c r="G46" s="574"/>
      <c r="H46" s="574"/>
      <c r="I46" s="88">
        <f>SUM(I38:I45)</f>
        <v>0.35780000000000006</v>
      </c>
      <c r="J46" s="83">
        <f>SUM(J38:J45)</f>
        <v>438.15</v>
      </c>
    </row>
    <row r="47" spans="1:10" x14ac:dyDescent="0.35">
      <c r="A47" s="567"/>
      <c r="B47" s="567"/>
      <c r="C47" s="567"/>
      <c r="D47" s="567"/>
      <c r="E47" s="567"/>
      <c r="F47" s="567"/>
      <c r="G47" s="567"/>
      <c r="H47" s="567"/>
      <c r="I47" s="567"/>
      <c r="J47" s="567"/>
    </row>
    <row r="48" spans="1:10" x14ac:dyDescent="0.35">
      <c r="A48" s="587" t="s">
        <v>103</v>
      </c>
      <c r="B48" s="587"/>
      <c r="C48" s="587"/>
      <c r="D48" s="587"/>
      <c r="E48" s="587"/>
      <c r="F48" s="587"/>
      <c r="G48" s="587"/>
      <c r="H48" s="587"/>
      <c r="I48" s="587"/>
      <c r="J48" s="587"/>
    </row>
    <row r="49" spans="1:10" x14ac:dyDescent="0.35">
      <c r="A49" s="74" t="s">
        <v>104</v>
      </c>
      <c r="B49" s="582" t="s">
        <v>105</v>
      </c>
      <c r="C49" s="582"/>
      <c r="D49" s="582"/>
      <c r="E49" s="582"/>
      <c r="F49" s="582"/>
      <c r="G49" s="582"/>
      <c r="H49" s="582"/>
      <c r="I49" s="582"/>
      <c r="J49" s="75" t="s">
        <v>85</v>
      </c>
    </row>
    <row r="50" spans="1:10" ht="26.25" customHeight="1" x14ac:dyDescent="0.35">
      <c r="A50" s="588" t="s">
        <v>34</v>
      </c>
      <c r="B50" s="568" t="s">
        <v>223</v>
      </c>
      <c r="C50" s="568"/>
      <c r="D50" s="568"/>
      <c r="E50" s="568"/>
      <c r="F50" s="568"/>
      <c r="G50" s="568"/>
      <c r="H50" s="568"/>
      <c r="I50" s="568"/>
      <c r="J50" s="81">
        <f>IF(ROUND((I53*I51*I52)-(J23*0.06),2)&lt;0,0,ROUND((I53*I51*I52)-(J23*0.06),2))*1+(I51*I52*21.726-0.06*J23)*0</f>
        <v>84.93</v>
      </c>
    </row>
    <row r="51" spans="1:10" x14ac:dyDescent="0.35">
      <c r="A51" s="588"/>
      <c r="B51" s="573" t="s">
        <v>224</v>
      </c>
      <c r="C51" s="573"/>
      <c r="D51" s="573"/>
      <c r="E51" s="573"/>
      <c r="F51" s="573"/>
      <c r="G51" s="573"/>
      <c r="H51" s="573"/>
      <c r="I51" s="89">
        <v>3.6</v>
      </c>
      <c r="J51" s="90" t="s">
        <v>164</v>
      </c>
    </row>
    <row r="52" spans="1:10" x14ac:dyDescent="0.35">
      <c r="A52" s="588"/>
      <c r="B52" s="573" t="s">
        <v>225</v>
      </c>
      <c r="C52" s="573"/>
      <c r="D52" s="573"/>
      <c r="E52" s="573"/>
      <c r="F52" s="573"/>
      <c r="G52" s="573"/>
      <c r="H52" s="573"/>
      <c r="I52" s="91">
        <v>2</v>
      </c>
      <c r="J52" s="90" t="s">
        <v>164</v>
      </c>
    </row>
    <row r="53" spans="1:10" x14ac:dyDescent="0.35">
      <c r="A53" s="588"/>
      <c r="B53" s="573" t="s">
        <v>226</v>
      </c>
      <c r="C53" s="573"/>
      <c r="D53" s="573"/>
      <c r="E53" s="573"/>
      <c r="F53" s="573"/>
      <c r="G53" s="573"/>
      <c r="H53" s="573"/>
      <c r="I53" s="92">
        <v>22</v>
      </c>
      <c r="J53" s="90" t="s">
        <v>164</v>
      </c>
    </row>
    <row r="54" spans="1:10" ht="26.25" customHeight="1" x14ac:dyDescent="0.35">
      <c r="A54" s="588" t="s">
        <v>36</v>
      </c>
      <c r="B54" s="568" t="s">
        <v>227</v>
      </c>
      <c r="C54" s="568"/>
      <c r="D54" s="568"/>
      <c r="E54" s="568"/>
      <c r="F54" s="568"/>
      <c r="G54" s="568"/>
      <c r="H54" s="568"/>
      <c r="I54" s="568"/>
      <c r="J54" s="81">
        <f>ROUND(I56*I55*(1-0.01),2)*1+ROUND(21.726*6*(1-0.01),2)*0</f>
        <v>435.6</v>
      </c>
    </row>
    <row r="55" spans="1:10" x14ac:dyDescent="0.35">
      <c r="A55" s="588"/>
      <c r="B55" s="573" t="s">
        <v>228</v>
      </c>
      <c r="C55" s="573"/>
      <c r="D55" s="573"/>
      <c r="E55" s="573"/>
      <c r="F55" s="573"/>
      <c r="G55" s="573"/>
      <c r="H55" s="573"/>
      <c r="I55" s="89">
        <v>20</v>
      </c>
      <c r="J55" s="90" t="s">
        <v>164</v>
      </c>
    </row>
    <row r="56" spans="1:10" x14ac:dyDescent="0.35">
      <c r="A56" s="588"/>
      <c r="B56" s="573" t="s">
        <v>229</v>
      </c>
      <c r="C56" s="573"/>
      <c r="D56" s="573"/>
      <c r="E56" s="573"/>
      <c r="F56" s="573"/>
      <c r="G56" s="573"/>
      <c r="H56" s="573"/>
      <c r="I56" s="92">
        <v>22</v>
      </c>
      <c r="J56" s="90" t="s">
        <v>164</v>
      </c>
    </row>
    <row r="57" spans="1:10" ht="15" customHeight="1" x14ac:dyDescent="0.35">
      <c r="A57" s="76" t="s">
        <v>38</v>
      </c>
      <c r="B57" s="568" t="s">
        <v>230</v>
      </c>
      <c r="C57" s="568"/>
      <c r="D57" s="568"/>
      <c r="E57" s="568"/>
      <c r="F57" s="568"/>
      <c r="G57" s="568"/>
      <c r="H57" s="568"/>
      <c r="I57" s="568"/>
      <c r="J57" s="81" t="s">
        <v>71</v>
      </c>
    </row>
    <row r="58" spans="1:10" ht="15" customHeight="1" x14ac:dyDescent="0.35">
      <c r="A58" s="76" t="s">
        <v>40</v>
      </c>
      <c r="B58" s="568" t="s">
        <v>231</v>
      </c>
      <c r="C58" s="568"/>
      <c r="D58" s="568"/>
      <c r="E58" s="568"/>
      <c r="F58" s="568"/>
      <c r="G58" s="568"/>
      <c r="H58" s="568"/>
      <c r="I58" s="568"/>
      <c r="J58" s="81">
        <v>0.25</v>
      </c>
    </row>
    <row r="59" spans="1:10" ht="15" customHeight="1" x14ac:dyDescent="0.35">
      <c r="A59" s="76" t="s">
        <v>73</v>
      </c>
      <c r="B59" s="568" t="s">
        <v>232</v>
      </c>
      <c r="C59" s="568"/>
      <c r="D59" s="568"/>
      <c r="E59" s="568"/>
      <c r="F59" s="568"/>
      <c r="G59" s="568"/>
      <c r="H59" s="568"/>
      <c r="I59" s="568"/>
      <c r="J59" s="93">
        <v>75</v>
      </c>
    </row>
    <row r="60" spans="1:10" x14ac:dyDescent="0.35">
      <c r="A60" s="76" t="s">
        <v>76</v>
      </c>
      <c r="B60" s="573" t="s">
        <v>233</v>
      </c>
      <c r="C60" s="573"/>
      <c r="D60" s="573"/>
      <c r="E60" s="573"/>
      <c r="F60" s="573"/>
      <c r="G60" s="573"/>
      <c r="H60" s="573"/>
      <c r="I60" s="573"/>
      <c r="J60" s="93">
        <v>1.8</v>
      </c>
    </row>
    <row r="61" spans="1:10" x14ac:dyDescent="0.35">
      <c r="A61" s="574" t="s">
        <v>75</v>
      </c>
      <c r="B61" s="574"/>
      <c r="C61" s="574"/>
      <c r="D61" s="574"/>
      <c r="E61" s="574"/>
      <c r="F61" s="574"/>
      <c r="G61" s="574"/>
      <c r="H61" s="574"/>
      <c r="I61" s="574"/>
      <c r="J61" s="83">
        <f>SUM(J50:J60)</f>
        <v>597.57999999999993</v>
      </c>
    </row>
    <row r="62" spans="1:10" x14ac:dyDescent="0.35">
      <c r="A62" s="567"/>
      <c r="B62" s="567"/>
      <c r="C62" s="567"/>
      <c r="D62" s="567"/>
      <c r="E62" s="567"/>
      <c r="F62" s="567"/>
      <c r="G62" s="567"/>
      <c r="H62" s="567"/>
      <c r="I62" s="567"/>
      <c r="J62" s="567"/>
    </row>
    <row r="63" spans="1:10" x14ac:dyDescent="0.35">
      <c r="A63" s="587" t="s">
        <v>234</v>
      </c>
      <c r="B63" s="587"/>
      <c r="C63" s="587"/>
      <c r="D63" s="587"/>
      <c r="E63" s="587"/>
      <c r="F63" s="587"/>
      <c r="G63" s="587"/>
      <c r="H63" s="587"/>
      <c r="I63" s="587"/>
      <c r="J63" s="587"/>
    </row>
    <row r="64" spans="1:10" ht="15" customHeight="1" x14ac:dyDescent="0.35">
      <c r="A64" s="70">
        <v>2</v>
      </c>
      <c r="B64" s="579" t="s">
        <v>117</v>
      </c>
      <c r="C64" s="579"/>
      <c r="D64" s="579"/>
      <c r="E64" s="579"/>
      <c r="F64" s="579"/>
      <c r="G64" s="579"/>
      <c r="H64" s="579"/>
      <c r="I64" s="579"/>
      <c r="J64" s="70" t="s">
        <v>85</v>
      </c>
    </row>
    <row r="65" spans="1:10" ht="15" customHeight="1" x14ac:dyDescent="0.35">
      <c r="A65" s="67" t="s">
        <v>82</v>
      </c>
      <c r="B65" s="568" t="s">
        <v>118</v>
      </c>
      <c r="C65" s="568"/>
      <c r="D65" s="568"/>
      <c r="E65" s="568"/>
      <c r="F65" s="568"/>
      <c r="G65" s="568"/>
      <c r="H65" s="568"/>
      <c r="I65" s="568"/>
      <c r="J65" s="94">
        <f>J34</f>
        <v>188.8</v>
      </c>
    </row>
    <row r="66" spans="1:10" ht="15" customHeight="1" x14ac:dyDescent="0.35">
      <c r="A66" s="67" t="s">
        <v>89</v>
      </c>
      <c r="B66" s="568" t="s">
        <v>90</v>
      </c>
      <c r="C66" s="568"/>
      <c r="D66" s="568"/>
      <c r="E66" s="568"/>
      <c r="F66" s="568"/>
      <c r="G66" s="568"/>
      <c r="H66" s="568"/>
      <c r="I66" s="568"/>
      <c r="J66" s="94">
        <f>J46</f>
        <v>438.15</v>
      </c>
    </row>
    <row r="67" spans="1:10" ht="15" customHeight="1" x14ac:dyDescent="0.35">
      <c r="A67" s="67" t="s">
        <v>104</v>
      </c>
      <c r="B67" s="568" t="s">
        <v>105</v>
      </c>
      <c r="C67" s="568"/>
      <c r="D67" s="568"/>
      <c r="E67" s="568"/>
      <c r="F67" s="568"/>
      <c r="G67" s="568"/>
      <c r="H67" s="568"/>
      <c r="I67" s="568"/>
      <c r="J67" s="94">
        <f>J61</f>
        <v>597.57999999999993</v>
      </c>
    </row>
    <row r="68" spans="1:10" ht="15" customHeight="1" x14ac:dyDescent="0.35">
      <c r="A68" s="580" t="s">
        <v>75</v>
      </c>
      <c r="B68" s="580"/>
      <c r="C68" s="580"/>
      <c r="D68" s="580"/>
      <c r="E68" s="580"/>
      <c r="F68" s="580"/>
      <c r="G68" s="580"/>
      <c r="H68" s="580"/>
      <c r="I68" s="580"/>
      <c r="J68" s="95">
        <f>SUM(J65+J66+J67)</f>
        <v>1224.53</v>
      </c>
    </row>
    <row r="69" spans="1:10" x14ac:dyDescent="0.35">
      <c r="A69" s="567"/>
      <c r="B69" s="567"/>
      <c r="C69" s="567"/>
      <c r="D69" s="567"/>
      <c r="E69" s="567"/>
      <c r="F69" s="567"/>
      <c r="G69" s="567"/>
      <c r="H69" s="567"/>
      <c r="I69" s="567"/>
      <c r="J69" s="567"/>
    </row>
    <row r="70" spans="1:10" ht="15" customHeight="1" x14ac:dyDescent="0.35">
      <c r="A70" s="577" t="s">
        <v>235</v>
      </c>
      <c r="B70" s="577"/>
      <c r="C70" s="577"/>
      <c r="D70" s="577"/>
      <c r="E70" s="577"/>
      <c r="F70" s="577"/>
      <c r="G70" s="577"/>
      <c r="H70" s="577"/>
      <c r="I70" s="577"/>
      <c r="J70" s="577"/>
    </row>
    <row r="71" spans="1:10" ht="15" customHeight="1" x14ac:dyDescent="0.35">
      <c r="A71" s="96">
        <v>3</v>
      </c>
      <c r="B71" s="579" t="s">
        <v>120</v>
      </c>
      <c r="C71" s="579"/>
      <c r="D71" s="579"/>
      <c r="E71" s="579"/>
      <c r="F71" s="579"/>
      <c r="G71" s="579"/>
      <c r="H71" s="579"/>
      <c r="I71" s="579"/>
      <c r="J71" s="96" t="s">
        <v>121</v>
      </c>
    </row>
    <row r="72" spans="1:10" ht="37.5" customHeight="1" x14ac:dyDescent="0.35">
      <c r="A72" s="76" t="s">
        <v>34</v>
      </c>
      <c r="B72" s="568" t="s">
        <v>236</v>
      </c>
      <c r="C72" s="568"/>
      <c r="D72" s="568"/>
      <c r="E72" s="568"/>
      <c r="F72" s="568"/>
      <c r="G72" s="568"/>
      <c r="H72" s="568"/>
      <c r="I72" s="568"/>
      <c r="J72" s="81">
        <f>ROUND((($J$25/12)+($J$30/12)+($J$25/12/12)+($J$31/12))*(30/30)*0.05,2)</f>
        <v>6.11</v>
      </c>
    </row>
    <row r="73" spans="1:10" ht="15" customHeight="1" x14ac:dyDescent="0.35">
      <c r="A73" s="76" t="s">
        <v>36</v>
      </c>
      <c r="B73" s="568" t="s">
        <v>123</v>
      </c>
      <c r="C73" s="568"/>
      <c r="D73" s="568"/>
      <c r="E73" s="568"/>
      <c r="F73" s="568"/>
      <c r="G73" s="568"/>
      <c r="H73" s="568"/>
      <c r="I73" s="568"/>
      <c r="J73" s="81">
        <f>ROUND($J$72*I45,2)</f>
        <v>0.49</v>
      </c>
    </row>
    <row r="74" spans="1:10" ht="37.5" customHeight="1" x14ac:dyDescent="0.35">
      <c r="A74" s="76" t="s">
        <v>38</v>
      </c>
      <c r="B74" s="568" t="s">
        <v>237</v>
      </c>
      <c r="C74" s="568"/>
      <c r="D74" s="568"/>
      <c r="E74" s="568"/>
      <c r="F74" s="568"/>
      <c r="G74" s="568"/>
      <c r="H74" s="568"/>
      <c r="I74" s="98">
        <v>1.9E-3</v>
      </c>
      <c r="J74" s="81">
        <f>ROUND($J$25*I74,2)</f>
        <v>2.33</v>
      </c>
    </row>
    <row r="75" spans="1:10" ht="37.5" customHeight="1" x14ac:dyDescent="0.35">
      <c r="A75" s="76" t="s">
        <v>40</v>
      </c>
      <c r="B75" s="568" t="s">
        <v>238</v>
      </c>
      <c r="C75" s="568"/>
      <c r="D75" s="568"/>
      <c r="E75" s="568"/>
      <c r="F75" s="568"/>
      <c r="G75" s="568"/>
      <c r="H75" s="568"/>
      <c r="I75" s="568"/>
      <c r="J75" s="81">
        <f>ROUND(((($J$25/30)*7)/$H$10)*0.9,2)</f>
        <v>12.86</v>
      </c>
    </row>
    <row r="76" spans="1:10" ht="15" customHeight="1" x14ac:dyDescent="0.35">
      <c r="A76" s="76" t="s">
        <v>73</v>
      </c>
      <c r="B76" s="568" t="s">
        <v>239</v>
      </c>
      <c r="C76" s="568"/>
      <c r="D76" s="568"/>
      <c r="E76" s="568"/>
      <c r="F76" s="568"/>
      <c r="G76" s="568"/>
      <c r="H76" s="568"/>
      <c r="I76" s="568"/>
      <c r="J76" s="81">
        <f>ROUND($I$46*J75,2)</f>
        <v>4.5999999999999996</v>
      </c>
    </row>
    <row r="77" spans="1:10" ht="37.5" customHeight="1" x14ac:dyDescent="0.35">
      <c r="A77" s="76" t="s">
        <v>76</v>
      </c>
      <c r="B77" s="568" t="s">
        <v>240</v>
      </c>
      <c r="C77" s="568"/>
      <c r="D77" s="568"/>
      <c r="E77" s="568"/>
      <c r="F77" s="568"/>
      <c r="G77" s="568"/>
      <c r="H77" s="568"/>
      <c r="I77" s="98">
        <v>3.8100000000000002E-2</v>
      </c>
      <c r="J77" s="81">
        <f>ROUND($J$25*I77,2)</f>
        <v>46.66</v>
      </c>
    </row>
    <row r="78" spans="1:10" x14ac:dyDescent="0.35">
      <c r="A78" s="574" t="s">
        <v>75</v>
      </c>
      <c r="B78" s="574"/>
      <c r="C78" s="574"/>
      <c r="D78" s="574"/>
      <c r="E78" s="574"/>
      <c r="F78" s="574"/>
      <c r="G78" s="574"/>
      <c r="H78" s="574"/>
      <c r="I78" s="574"/>
      <c r="J78" s="83">
        <f>SUM(J72:J77)</f>
        <v>73.05</v>
      </c>
    </row>
    <row r="79" spans="1:10" x14ac:dyDescent="0.35">
      <c r="A79" s="567"/>
      <c r="B79" s="567"/>
      <c r="C79" s="567"/>
      <c r="D79" s="567"/>
      <c r="E79" s="567"/>
      <c r="F79" s="567"/>
      <c r="G79" s="567"/>
      <c r="H79" s="567"/>
      <c r="I79" s="567"/>
      <c r="J79" s="567"/>
    </row>
    <row r="80" spans="1:10" ht="15" customHeight="1" x14ac:dyDescent="0.35">
      <c r="A80" s="577" t="s">
        <v>241</v>
      </c>
      <c r="B80" s="577"/>
      <c r="C80" s="577"/>
      <c r="D80" s="577"/>
      <c r="E80" s="577"/>
      <c r="F80" s="577"/>
      <c r="G80" s="577"/>
      <c r="H80" s="577"/>
      <c r="I80" s="577"/>
      <c r="J80" s="577"/>
    </row>
    <row r="81" spans="1:10" ht="26.25" customHeight="1" x14ac:dyDescent="0.35">
      <c r="A81" s="585" t="s">
        <v>242</v>
      </c>
      <c r="B81" s="585"/>
      <c r="C81" s="585"/>
      <c r="D81" s="585"/>
      <c r="E81" s="585"/>
      <c r="F81" s="585"/>
      <c r="G81" s="585"/>
      <c r="H81" s="585"/>
      <c r="I81" s="585"/>
      <c r="J81" s="99">
        <f>J85+J25+J30+J31</f>
        <v>1474.7299999999998</v>
      </c>
    </row>
    <row r="82" spans="1:10" x14ac:dyDescent="0.35">
      <c r="A82" s="567"/>
      <c r="B82" s="567"/>
      <c r="C82" s="567"/>
      <c r="D82" s="567"/>
      <c r="E82" s="567"/>
      <c r="F82" s="567"/>
      <c r="G82" s="567"/>
      <c r="H82" s="567"/>
      <c r="I82" s="567"/>
      <c r="J82" s="567"/>
    </row>
    <row r="83" spans="1:10" ht="15" customHeight="1" x14ac:dyDescent="0.35">
      <c r="A83" s="586" t="s">
        <v>243</v>
      </c>
      <c r="B83" s="586"/>
      <c r="C83" s="586"/>
      <c r="D83" s="586"/>
      <c r="E83" s="586"/>
      <c r="F83" s="586"/>
      <c r="G83" s="586"/>
      <c r="H83" s="586"/>
      <c r="I83" s="586"/>
      <c r="J83" s="586"/>
    </row>
    <row r="84" spans="1:10" x14ac:dyDescent="0.35">
      <c r="A84" s="74" t="s">
        <v>134</v>
      </c>
      <c r="B84" s="582" t="s">
        <v>244</v>
      </c>
      <c r="C84" s="582"/>
      <c r="D84" s="582"/>
      <c r="E84" s="582"/>
      <c r="F84" s="582"/>
      <c r="G84" s="582"/>
      <c r="H84" s="582"/>
      <c r="I84" s="582"/>
      <c r="J84" s="74" t="s">
        <v>85</v>
      </c>
    </row>
    <row r="85" spans="1:10" ht="37.5" customHeight="1" x14ac:dyDescent="0.35">
      <c r="A85" s="76" t="s">
        <v>34</v>
      </c>
      <c r="B85" s="568" t="s">
        <v>245</v>
      </c>
      <c r="C85" s="568"/>
      <c r="D85" s="568"/>
      <c r="E85" s="568"/>
      <c r="F85" s="568"/>
      <c r="G85" s="568"/>
      <c r="H85" s="568"/>
      <c r="I85" s="79">
        <v>9.0749999999999997E-2</v>
      </c>
      <c r="J85" s="81">
        <f>ROUND(($J$25*I85),2)</f>
        <v>111.13</v>
      </c>
    </row>
    <row r="86" spans="1:10" ht="26.25" customHeight="1" x14ac:dyDescent="0.35">
      <c r="A86" s="76" t="s">
        <v>36</v>
      </c>
      <c r="B86" s="568" t="s">
        <v>246</v>
      </c>
      <c r="C86" s="568"/>
      <c r="D86" s="568"/>
      <c r="E86" s="568"/>
      <c r="F86" s="568"/>
      <c r="G86" s="568"/>
      <c r="H86" s="568"/>
      <c r="I86" s="568"/>
      <c r="J86" s="91">
        <f>ROUND((($J$81/30)*2.96)/12,2)</f>
        <v>12.13</v>
      </c>
    </row>
    <row r="87" spans="1:10" ht="26.25" customHeight="1" x14ac:dyDescent="0.35">
      <c r="A87" s="76" t="s">
        <v>38</v>
      </c>
      <c r="B87" s="568" t="s">
        <v>247</v>
      </c>
      <c r="C87" s="568"/>
      <c r="D87" s="568"/>
      <c r="E87" s="568"/>
      <c r="F87" s="568"/>
      <c r="G87" s="568"/>
      <c r="H87" s="568"/>
      <c r="I87" s="568"/>
      <c r="J87" s="91">
        <f>ROUND((($J$81/30)*5)/12*0.015,2)</f>
        <v>0.31</v>
      </c>
    </row>
    <row r="88" spans="1:10" ht="26.25" customHeight="1" x14ac:dyDescent="0.35">
      <c r="A88" s="76" t="s">
        <v>40</v>
      </c>
      <c r="B88" s="568" t="s">
        <v>248</v>
      </c>
      <c r="C88" s="568"/>
      <c r="D88" s="568"/>
      <c r="E88" s="568"/>
      <c r="F88" s="568"/>
      <c r="G88" s="568"/>
      <c r="H88" s="568"/>
      <c r="I88" s="568"/>
      <c r="J88" s="81">
        <f>ROUND(((($J$81/30)*15)/12)*0.0078,2)</f>
        <v>0.48</v>
      </c>
    </row>
    <row r="89" spans="1:10" ht="26.25" customHeight="1" x14ac:dyDescent="0.35">
      <c r="A89" s="76" t="s">
        <v>73</v>
      </c>
      <c r="B89" s="568" t="s">
        <v>249</v>
      </c>
      <c r="C89" s="568"/>
      <c r="D89" s="568"/>
      <c r="E89" s="568"/>
      <c r="F89" s="568"/>
      <c r="G89" s="568"/>
      <c r="H89" s="568"/>
      <c r="I89" s="568"/>
      <c r="J89" s="81">
        <f>ROUND(((($J$25+$J$25/3)*4/12)/12)*0.02,2)</f>
        <v>0.91</v>
      </c>
    </row>
    <row r="90" spans="1:10" ht="26.25" customHeight="1" x14ac:dyDescent="0.35">
      <c r="A90" s="76" t="s">
        <v>76</v>
      </c>
      <c r="B90" s="568" t="s">
        <v>250</v>
      </c>
      <c r="C90" s="568"/>
      <c r="D90" s="568"/>
      <c r="E90" s="568"/>
      <c r="F90" s="568"/>
      <c r="G90" s="568"/>
      <c r="H90" s="568"/>
      <c r="I90" s="568"/>
      <c r="J90" s="81">
        <f>ROUND(((($J$81/30)*5)/12),2)</f>
        <v>20.48</v>
      </c>
    </row>
    <row r="91" spans="1:10" x14ac:dyDescent="0.35">
      <c r="A91" s="583" t="s">
        <v>75</v>
      </c>
      <c r="B91" s="583"/>
      <c r="C91" s="583"/>
      <c r="D91" s="583"/>
      <c r="E91" s="583"/>
      <c r="F91" s="583"/>
      <c r="G91" s="583"/>
      <c r="H91" s="583"/>
      <c r="I91" s="583"/>
      <c r="J91" s="81">
        <f>SUM(J85:J90)</f>
        <v>145.44</v>
      </c>
    </row>
    <row r="92" spans="1:10" x14ac:dyDescent="0.35">
      <c r="A92" s="76" t="s">
        <v>99</v>
      </c>
      <c r="B92" s="573" t="s">
        <v>251</v>
      </c>
      <c r="C92" s="573"/>
      <c r="D92" s="573"/>
      <c r="E92" s="573"/>
      <c r="F92" s="573"/>
      <c r="G92" s="573"/>
      <c r="H92" s="573"/>
      <c r="I92" s="573"/>
      <c r="J92" s="81">
        <f>ROUND(I46*J91,2)</f>
        <v>52.04</v>
      </c>
    </row>
    <row r="93" spans="1:10" x14ac:dyDescent="0.35">
      <c r="A93" s="574" t="s">
        <v>75</v>
      </c>
      <c r="B93" s="574"/>
      <c r="C93" s="574"/>
      <c r="D93" s="574"/>
      <c r="E93" s="574"/>
      <c r="F93" s="574"/>
      <c r="G93" s="574"/>
      <c r="H93" s="574"/>
      <c r="I93" s="574"/>
      <c r="J93" s="83">
        <f>SUM(J91:J92)</f>
        <v>197.48</v>
      </c>
    </row>
    <row r="95" spans="1:10" ht="15" customHeight="1" x14ac:dyDescent="0.35">
      <c r="A95" s="581" t="s">
        <v>252</v>
      </c>
      <c r="B95" s="581"/>
      <c r="C95" s="581"/>
      <c r="D95" s="581"/>
      <c r="E95" s="581"/>
      <c r="F95" s="581"/>
      <c r="G95" s="581"/>
      <c r="H95" s="581"/>
      <c r="I95" s="581"/>
      <c r="J95" s="581"/>
    </row>
    <row r="96" spans="1:10" x14ac:dyDescent="0.35">
      <c r="A96" s="74" t="s">
        <v>145</v>
      </c>
      <c r="B96" s="582" t="s">
        <v>62</v>
      </c>
      <c r="C96" s="582"/>
      <c r="D96" s="582"/>
      <c r="E96" s="582"/>
      <c r="F96" s="582"/>
      <c r="G96" s="582"/>
      <c r="H96" s="582"/>
      <c r="I96" s="582"/>
      <c r="J96" s="101" t="s">
        <v>85</v>
      </c>
    </row>
    <row r="97" spans="1:10" x14ac:dyDescent="0.35">
      <c r="A97" s="76" t="s">
        <v>34</v>
      </c>
      <c r="B97" s="573" t="s">
        <v>253</v>
      </c>
      <c r="C97" s="573"/>
      <c r="D97" s="573"/>
      <c r="E97" s="573"/>
      <c r="F97" s="573"/>
      <c r="G97" s="573"/>
      <c r="H97" s="573"/>
      <c r="I97" s="573"/>
      <c r="J97" s="81">
        <v>0</v>
      </c>
    </row>
    <row r="98" spans="1:10" x14ac:dyDescent="0.35">
      <c r="A98" s="583" t="s">
        <v>75</v>
      </c>
      <c r="B98" s="583"/>
      <c r="C98" s="583"/>
      <c r="D98" s="583"/>
      <c r="E98" s="583"/>
      <c r="F98" s="583"/>
      <c r="G98" s="583"/>
      <c r="H98" s="583"/>
      <c r="I98" s="583"/>
      <c r="J98" s="81">
        <v>0</v>
      </c>
    </row>
    <row r="99" spans="1:10" x14ac:dyDescent="0.35">
      <c r="A99" s="76" t="s">
        <v>36</v>
      </c>
      <c r="B99" s="573" t="s">
        <v>254</v>
      </c>
      <c r="C99" s="573"/>
      <c r="D99" s="573"/>
      <c r="E99" s="573"/>
      <c r="F99" s="573"/>
      <c r="G99" s="573"/>
      <c r="H99" s="573"/>
      <c r="I99" s="573"/>
      <c r="J99" s="81">
        <f>ROUND(I46*J98,2)</f>
        <v>0</v>
      </c>
    </row>
    <row r="100" spans="1:10" x14ac:dyDescent="0.35">
      <c r="A100" s="574" t="s">
        <v>75</v>
      </c>
      <c r="B100" s="574"/>
      <c r="C100" s="574"/>
      <c r="D100" s="574"/>
      <c r="E100" s="574"/>
      <c r="F100" s="574"/>
      <c r="G100" s="574"/>
      <c r="H100" s="574"/>
      <c r="I100" s="574"/>
      <c r="J100" s="83">
        <f>SUM(J98:J99)</f>
        <v>0</v>
      </c>
    </row>
    <row r="101" spans="1:10" x14ac:dyDescent="0.35">
      <c r="A101" s="584"/>
      <c r="B101" s="584"/>
      <c r="C101" s="584"/>
      <c r="D101" s="584"/>
      <c r="E101" s="584"/>
      <c r="F101" s="584"/>
      <c r="G101" s="584"/>
      <c r="H101" s="584"/>
      <c r="I101" s="584"/>
      <c r="J101" s="584"/>
    </row>
    <row r="102" spans="1:10" ht="15" customHeight="1" x14ac:dyDescent="0.35">
      <c r="A102" s="581" t="s">
        <v>255</v>
      </c>
      <c r="B102" s="581"/>
      <c r="C102" s="581"/>
      <c r="D102" s="581"/>
      <c r="E102" s="581"/>
      <c r="F102" s="581"/>
      <c r="G102" s="581"/>
      <c r="H102" s="581"/>
      <c r="I102" s="581"/>
      <c r="J102" s="581"/>
    </row>
    <row r="103" spans="1:10" ht="15" customHeight="1" x14ac:dyDescent="0.35">
      <c r="A103" s="70">
        <v>4</v>
      </c>
      <c r="B103" s="579" t="s">
        <v>149</v>
      </c>
      <c r="C103" s="579"/>
      <c r="D103" s="579"/>
      <c r="E103" s="579"/>
      <c r="F103" s="579"/>
      <c r="G103" s="579"/>
      <c r="H103" s="579"/>
      <c r="I103" s="579"/>
      <c r="J103" s="102" t="s">
        <v>85</v>
      </c>
    </row>
    <row r="104" spans="1:10" ht="15" customHeight="1" x14ac:dyDescent="0.35">
      <c r="A104" s="67" t="s">
        <v>134</v>
      </c>
      <c r="B104" s="568" t="s">
        <v>244</v>
      </c>
      <c r="C104" s="568"/>
      <c r="D104" s="568"/>
      <c r="E104" s="568"/>
      <c r="F104" s="568"/>
      <c r="G104" s="568"/>
      <c r="H104" s="568"/>
      <c r="I104" s="568"/>
      <c r="J104" s="81">
        <f>J93</f>
        <v>197.48</v>
      </c>
    </row>
    <row r="105" spans="1:10" ht="15" customHeight="1" x14ac:dyDescent="0.35">
      <c r="A105" s="67" t="s">
        <v>145</v>
      </c>
      <c r="B105" s="568" t="s">
        <v>62</v>
      </c>
      <c r="C105" s="568"/>
      <c r="D105" s="568"/>
      <c r="E105" s="568"/>
      <c r="F105" s="568"/>
      <c r="G105" s="568"/>
      <c r="H105" s="568"/>
      <c r="I105" s="568"/>
      <c r="J105" s="81">
        <f>J100</f>
        <v>0</v>
      </c>
    </row>
    <row r="106" spans="1:10" ht="15" customHeight="1" x14ac:dyDescent="0.35">
      <c r="A106" s="580" t="s">
        <v>75</v>
      </c>
      <c r="B106" s="580"/>
      <c r="C106" s="580"/>
      <c r="D106" s="580"/>
      <c r="E106" s="580"/>
      <c r="F106" s="580"/>
      <c r="G106" s="580"/>
      <c r="H106" s="580"/>
      <c r="I106" s="580"/>
      <c r="J106" s="83">
        <f>SUM(J104+J105)</f>
        <v>197.48</v>
      </c>
    </row>
    <row r="107" spans="1:10" x14ac:dyDescent="0.35">
      <c r="A107" s="567"/>
      <c r="B107" s="567"/>
      <c r="C107" s="567"/>
      <c r="D107" s="567"/>
      <c r="E107" s="567"/>
      <c r="F107" s="567"/>
      <c r="G107" s="567"/>
      <c r="H107" s="567"/>
      <c r="I107" s="567"/>
      <c r="J107" s="567"/>
    </row>
    <row r="108" spans="1:10" ht="15" customHeight="1" x14ac:dyDescent="0.35">
      <c r="A108" s="577" t="s">
        <v>256</v>
      </c>
      <c r="B108" s="577"/>
      <c r="C108" s="577"/>
      <c r="D108" s="577"/>
      <c r="E108" s="577"/>
      <c r="F108" s="577"/>
      <c r="G108" s="577"/>
      <c r="H108" s="577"/>
      <c r="I108" s="577"/>
      <c r="J108" s="577"/>
    </row>
    <row r="109" spans="1:10" x14ac:dyDescent="0.35">
      <c r="A109" s="96">
        <v>5</v>
      </c>
      <c r="B109" s="578" t="s">
        <v>151</v>
      </c>
      <c r="C109" s="578"/>
      <c r="D109" s="578"/>
      <c r="E109" s="578"/>
      <c r="F109" s="578"/>
      <c r="G109" s="578"/>
      <c r="H109" s="578"/>
      <c r="I109" s="578"/>
      <c r="J109" s="96" t="s">
        <v>85</v>
      </c>
    </row>
    <row r="110" spans="1:10" x14ac:dyDescent="0.35">
      <c r="A110" s="76" t="s">
        <v>34</v>
      </c>
      <c r="B110" s="573" t="s">
        <v>152</v>
      </c>
      <c r="C110" s="573"/>
      <c r="D110" s="573"/>
      <c r="E110" s="573"/>
      <c r="F110" s="573"/>
      <c r="G110" s="573"/>
      <c r="H110" s="573"/>
      <c r="I110" s="573"/>
      <c r="J110" s="81">
        <f>(J106+J78+J68+J25)*(0.0145)</f>
        <v>39.434345</v>
      </c>
    </row>
    <row r="111" spans="1:10" x14ac:dyDescent="0.35">
      <c r="A111" s="76" t="s">
        <v>36</v>
      </c>
      <c r="B111" s="573" t="s">
        <v>153</v>
      </c>
      <c r="C111" s="573"/>
      <c r="D111" s="573"/>
      <c r="E111" s="573"/>
      <c r="F111" s="573"/>
      <c r="G111" s="573"/>
      <c r="H111" s="573"/>
      <c r="I111" s="573"/>
      <c r="J111" s="93" t="s">
        <v>71</v>
      </c>
    </row>
    <row r="112" spans="1:10" x14ac:dyDescent="0.35">
      <c r="A112" s="76" t="s">
        <v>38</v>
      </c>
      <c r="B112" s="573" t="s">
        <v>257</v>
      </c>
      <c r="C112" s="573"/>
      <c r="D112" s="573"/>
      <c r="E112" s="573"/>
      <c r="F112" s="573"/>
      <c r="G112" s="573"/>
      <c r="H112" s="573"/>
      <c r="I112" s="573"/>
      <c r="J112" s="93" t="s">
        <v>71</v>
      </c>
    </row>
    <row r="113" spans="1:10" x14ac:dyDescent="0.35">
      <c r="A113" s="76" t="s">
        <v>40</v>
      </c>
      <c r="B113" s="573" t="s">
        <v>155</v>
      </c>
      <c r="C113" s="573"/>
      <c r="D113" s="573"/>
      <c r="E113" s="573"/>
      <c r="F113" s="573"/>
      <c r="G113" s="573"/>
      <c r="H113" s="573"/>
      <c r="I113" s="573"/>
      <c r="J113" s="93" t="s">
        <v>71</v>
      </c>
    </row>
    <row r="114" spans="1:10" x14ac:dyDescent="0.35">
      <c r="A114" s="574" t="s">
        <v>75</v>
      </c>
      <c r="B114" s="574"/>
      <c r="C114" s="574"/>
      <c r="D114" s="574"/>
      <c r="E114" s="574"/>
      <c r="F114" s="574"/>
      <c r="G114" s="574"/>
      <c r="H114" s="574"/>
      <c r="I114" s="574"/>
      <c r="J114" s="99">
        <f>SUM(J110:J113)</f>
        <v>39.434345</v>
      </c>
    </row>
    <row r="115" spans="1:10" x14ac:dyDescent="0.35">
      <c r="A115" s="567"/>
      <c r="B115" s="567"/>
      <c r="C115" s="567"/>
      <c r="D115" s="567"/>
      <c r="E115" s="567"/>
      <c r="F115" s="567"/>
      <c r="G115" s="567"/>
      <c r="H115" s="567"/>
      <c r="I115" s="567"/>
      <c r="J115" s="567"/>
    </row>
    <row r="116" spans="1:10" ht="15" customHeight="1" x14ac:dyDescent="0.35">
      <c r="A116" s="577" t="s">
        <v>258</v>
      </c>
      <c r="B116" s="577"/>
      <c r="C116" s="577"/>
      <c r="D116" s="577"/>
      <c r="E116" s="577"/>
      <c r="F116" s="577"/>
      <c r="G116" s="577"/>
      <c r="H116" s="577"/>
      <c r="I116" s="577"/>
      <c r="J116" s="577"/>
    </row>
    <row r="117" spans="1:10" x14ac:dyDescent="0.35">
      <c r="A117" s="96">
        <v>6</v>
      </c>
      <c r="B117" s="578" t="s">
        <v>157</v>
      </c>
      <c r="C117" s="578"/>
      <c r="D117" s="578"/>
      <c r="E117" s="578"/>
      <c r="F117" s="578"/>
      <c r="G117" s="578"/>
      <c r="H117" s="578"/>
      <c r="I117" s="70" t="s">
        <v>221</v>
      </c>
      <c r="J117" s="105" t="s">
        <v>85</v>
      </c>
    </row>
    <row r="118" spans="1:10" ht="49.5" customHeight="1" x14ac:dyDescent="0.35">
      <c r="A118" s="568" t="s">
        <v>259</v>
      </c>
      <c r="B118" s="568"/>
      <c r="C118" s="568"/>
      <c r="D118" s="568"/>
      <c r="E118" s="568"/>
      <c r="F118" s="568"/>
      <c r="G118" s="568"/>
      <c r="H118" s="568"/>
      <c r="I118" s="106" t="s">
        <v>164</v>
      </c>
      <c r="J118" s="81">
        <f>SUM(J25+J68+J78+J106+J114)</f>
        <v>2759.0443450000002</v>
      </c>
    </row>
    <row r="119" spans="1:10" x14ac:dyDescent="0.35">
      <c r="A119" s="76" t="s">
        <v>34</v>
      </c>
      <c r="B119" s="573" t="s">
        <v>159</v>
      </c>
      <c r="C119" s="573"/>
      <c r="D119" s="573"/>
      <c r="E119" s="573"/>
      <c r="F119" s="573"/>
      <c r="G119" s="573"/>
      <c r="H119" s="573"/>
      <c r="I119" s="84">
        <v>7.1000000000000004E-3</v>
      </c>
      <c r="J119" s="81">
        <f>ROUND(I119*J118,2)</f>
        <v>19.59</v>
      </c>
    </row>
    <row r="120" spans="1:10" ht="49.5" customHeight="1" x14ac:dyDescent="0.35">
      <c r="A120" s="568" t="s">
        <v>260</v>
      </c>
      <c r="B120" s="568"/>
      <c r="C120" s="568"/>
      <c r="D120" s="568"/>
      <c r="E120" s="568"/>
      <c r="F120" s="568"/>
      <c r="G120" s="568"/>
      <c r="H120" s="568"/>
      <c r="I120" s="107" t="s">
        <v>164</v>
      </c>
      <c r="J120" s="81">
        <f>SUM(J25+J68+J78+J106+J114+J119)</f>
        <v>2778.6343450000004</v>
      </c>
    </row>
    <row r="121" spans="1:10" x14ac:dyDescent="0.35">
      <c r="A121" s="76" t="s">
        <v>36</v>
      </c>
      <c r="B121" s="573" t="s">
        <v>161</v>
      </c>
      <c r="C121" s="573"/>
      <c r="D121" s="573"/>
      <c r="E121" s="573"/>
      <c r="F121" s="573"/>
      <c r="G121" s="573"/>
      <c r="H121" s="573"/>
      <c r="I121" s="84">
        <f>I119</f>
        <v>7.1000000000000004E-3</v>
      </c>
      <c r="J121" s="81">
        <f>ROUND(I121*J120,2)</f>
        <v>19.73</v>
      </c>
    </row>
    <row r="122" spans="1:10" ht="49.5" customHeight="1" x14ac:dyDescent="0.35">
      <c r="A122" s="568" t="s">
        <v>261</v>
      </c>
      <c r="B122" s="568"/>
      <c r="C122" s="568"/>
      <c r="D122" s="568"/>
      <c r="E122" s="568"/>
      <c r="F122" s="568"/>
      <c r="G122" s="568"/>
      <c r="H122" s="568"/>
      <c r="I122" s="107" t="s">
        <v>164</v>
      </c>
      <c r="J122" s="81">
        <f>SUM(J25+J68+J78+J106+J114+J119+J121)</f>
        <v>2798.3643450000004</v>
      </c>
    </row>
    <row r="123" spans="1:10" x14ac:dyDescent="0.35">
      <c r="A123" s="76" t="s">
        <v>38</v>
      </c>
      <c r="B123" s="573" t="s">
        <v>163</v>
      </c>
      <c r="C123" s="573"/>
      <c r="D123" s="573"/>
      <c r="E123" s="573"/>
      <c r="F123" s="573"/>
      <c r="G123" s="573"/>
      <c r="H123" s="573"/>
      <c r="I123" s="77" t="s">
        <v>164</v>
      </c>
      <c r="J123" s="90" t="s">
        <v>164</v>
      </c>
    </row>
    <row r="124" spans="1:10" x14ac:dyDescent="0.35">
      <c r="A124" s="76"/>
      <c r="B124" s="573" t="s">
        <v>165</v>
      </c>
      <c r="C124" s="573"/>
      <c r="D124" s="573"/>
      <c r="E124" s="573"/>
      <c r="F124" s="573"/>
      <c r="G124" s="573"/>
      <c r="H124" s="573"/>
      <c r="I124" s="77" t="s">
        <v>164</v>
      </c>
      <c r="J124" s="90" t="s">
        <v>164</v>
      </c>
    </row>
    <row r="125" spans="1:10" x14ac:dyDescent="0.35">
      <c r="A125" s="76"/>
      <c r="B125" s="573" t="s">
        <v>262</v>
      </c>
      <c r="C125" s="573"/>
      <c r="D125" s="573"/>
      <c r="E125" s="573"/>
      <c r="F125" s="573"/>
      <c r="G125" s="573"/>
      <c r="H125" s="573"/>
      <c r="I125" s="108">
        <v>0.03</v>
      </c>
      <c r="J125" s="81">
        <f>ROUND(($J$122/(1-$I$134))*I125,2)</f>
        <v>91.9</v>
      </c>
    </row>
    <row r="126" spans="1:10" x14ac:dyDescent="0.35">
      <c r="A126" s="76"/>
      <c r="B126" s="573" t="s">
        <v>263</v>
      </c>
      <c r="C126" s="573"/>
      <c r="D126" s="573"/>
      <c r="E126" s="573"/>
      <c r="F126" s="573"/>
      <c r="G126" s="573"/>
      <c r="H126" s="573"/>
      <c r="I126" s="108">
        <v>6.4999999999999997E-3</v>
      </c>
      <c r="J126" s="81">
        <f>ROUND(($J$122/(1-$I$134))*I126,2)</f>
        <v>19.91</v>
      </c>
    </row>
    <row r="127" spans="1:10" ht="15" customHeight="1" x14ac:dyDescent="0.35">
      <c r="A127" s="76"/>
      <c r="B127" s="568" t="s">
        <v>264</v>
      </c>
      <c r="C127" s="568"/>
      <c r="D127" s="568"/>
      <c r="E127" s="568"/>
      <c r="F127" s="568"/>
      <c r="G127" s="568"/>
      <c r="H127" s="568"/>
      <c r="I127" s="98" t="s">
        <v>164</v>
      </c>
      <c r="J127" s="90" t="s">
        <v>164</v>
      </c>
    </row>
    <row r="128" spans="1:10" ht="15" customHeight="1" x14ac:dyDescent="0.35">
      <c r="A128" s="76"/>
      <c r="B128" s="568" t="s">
        <v>265</v>
      </c>
      <c r="C128" s="568"/>
      <c r="D128" s="568"/>
      <c r="E128" s="568"/>
      <c r="F128" s="568"/>
      <c r="G128" s="568"/>
      <c r="H128" s="568"/>
      <c r="I128" s="98" t="s">
        <v>164</v>
      </c>
      <c r="J128" s="90" t="s">
        <v>164</v>
      </c>
    </row>
    <row r="129" spans="1:10" x14ac:dyDescent="0.35">
      <c r="A129" s="76"/>
      <c r="B129" s="573" t="s">
        <v>168</v>
      </c>
      <c r="C129" s="573"/>
      <c r="D129" s="573"/>
      <c r="E129" s="573"/>
      <c r="F129" s="573"/>
      <c r="G129" s="573"/>
      <c r="H129" s="573"/>
      <c r="I129" s="98" t="s">
        <v>164</v>
      </c>
      <c r="J129" s="90" t="s">
        <v>164</v>
      </c>
    </row>
    <row r="130" spans="1:10" x14ac:dyDescent="0.35">
      <c r="A130" s="76"/>
      <c r="B130" s="573" t="s">
        <v>266</v>
      </c>
      <c r="C130" s="573"/>
      <c r="D130" s="573"/>
      <c r="E130" s="573"/>
      <c r="F130" s="573"/>
      <c r="G130" s="573"/>
      <c r="H130" s="573"/>
      <c r="I130" s="98" t="s">
        <v>164</v>
      </c>
      <c r="J130" s="90" t="s">
        <v>164</v>
      </c>
    </row>
    <row r="131" spans="1:10" x14ac:dyDescent="0.35">
      <c r="A131" s="76"/>
      <c r="B131" s="573" t="s">
        <v>267</v>
      </c>
      <c r="C131" s="573"/>
      <c r="D131" s="573"/>
      <c r="E131" s="573"/>
      <c r="F131" s="573"/>
      <c r="G131" s="573"/>
      <c r="H131" s="573"/>
      <c r="I131" s="108">
        <v>0.05</v>
      </c>
      <c r="J131" s="81">
        <f>ROUND(($J$122/(1-$I$134))*I131,2)</f>
        <v>153.16999999999999</v>
      </c>
    </row>
    <row r="132" spans="1:10" x14ac:dyDescent="0.35">
      <c r="A132" s="574" t="s">
        <v>75</v>
      </c>
      <c r="B132" s="574"/>
      <c r="C132" s="574"/>
      <c r="D132" s="574"/>
      <c r="E132" s="574"/>
      <c r="F132" s="574"/>
      <c r="G132" s="574"/>
      <c r="H132" s="574"/>
      <c r="I132" s="574"/>
      <c r="J132" s="83">
        <f>SUM(J119+J121+J125+J126+J131)</f>
        <v>304.29999999999995</v>
      </c>
    </row>
    <row r="133" spans="1:10" x14ac:dyDescent="0.35">
      <c r="A133" s="567"/>
      <c r="B133" s="567"/>
      <c r="C133" s="567"/>
      <c r="D133" s="567"/>
      <c r="E133" s="567"/>
      <c r="F133" s="567"/>
      <c r="G133" s="567"/>
      <c r="H133" s="567"/>
      <c r="I133" s="567"/>
      <c r="J133" s="567"/>
    </row>
    <row r="134" spans="1:10" ht="15" customHeight="1" x14ac:dyDescent="0.35">
      <c r="A134" s="575" t="s">
        <v>170</v>
      </c>
      <c r="B134" s="575"/>
      <c r="C134" s="575"/>
      <c r="D134" s="575"/>
      <c r="E134" s="575"/>
      <c r="F134" s="575"/>
      <c r="G134" s="575"/>
      <c r="H134" s="575"/>
      <c r="I134" s="84">
        <f>SUM(I125:I131)</f>
        <v>8.6499999999999994E-2</v>
      </c>
      <c r="J134" s="81">
        <f>SUM(J125:J131)</f>
        <v>264.98</v>
      </c>
    </row>
    <row r="135" spans="1:10" x14ac:dyDescent="0.35">
      <c r="A135" s="576" t="s">
        <v>171</v>
      </c>
      <c r="B135" s="576"/>
      <c r="C135" s="576"/>
      <c r="D135" s="573" t="s">
        <v>172</v>
      </c>
      <c r="E135" s="573"/>
      <c r="F135" s="573"/>
      <c r="G135" s="573"/>
      <c r="H135" s="573"/>
      <c r="I135" s="573"/>
      <c r="J135" s="573"/>
    </row>
    <row r="136" spans="1:10" x14ac:dyDescent="0.35">
      <c r="A136" s="576"/>
      <c r="B136" s="576"/>
      <c r="C136" s="576"/>
      <c r="D136" s="573" t="s">
        <v>173</v>
      </c>
      <c r="E136" s="573"/>
      <c r="F136" s="573"/>
      <c r="G136" s="573"/>
      <c r="H136" s="573"/>
      <c r="I136" s="573"/>
      <c r="J136" s="573"/>
    </row>
    <row r="137" spans="1:10" x14ac:dyDescent="0.35">
      <c r="A137" s="576"/>
      <c r="B137" s="576"/>
      <c r="C137" s="576"/>
      <c r="D137" s="573" t="s">
        <v>174</v>
      </c>
      <c r="E137" s="573"/>
      <c r="F137" s="573"/>
      <c r="G137" s="573"/>
      <c r="H137" s="573"/>
      <c r="I137" s="573"/>
      <c r="J137" s="573"/>
    </row>
    <row r="138" spans="1:10" x14ac:dyDescent="0.35">
      <c r="A138" s="567"/>
      <c r="B138" s="567"/>
      <c r="C138" s="567"/>
      <c r="D138" s="567"/>
      <c r="E138" s="567"/>
      <c r="F138" s="567"/>
      <c r="G138" s="567"/>
      <c r="H138" s="567"/>
      <c r="I138" s="567"/>
      <c r="J138" s="567"/>
    </row>
    <row r="139" spans="1:10" ht="45" customHeight="1" x14ac:dyDescent="0.35">
      <c r="A139" s="570" t="s">
        <v>268</v>
      </c>
      <c r="B139" s="570"/>
      <c r="C139" s="570"/>
      <c r="D139" s="570"/>
      <c r="E139" s="570"/>
      <c r="F139" s="570"/>
      <c r="G139" s="570"/>
      <c r="H139" s="570"/>
      <c r="I139" s="570"/>
      <c r="J139" s="570"/>
    </row>
    <row r="140" spans="1:10" ht="15" customHeight="1" x14ac:dyDescent="0.35">
      <c r="A140" s="598" t="s">
        <v>269</v>
      </c>
      <c r="B140" s="598"/>
      <c r="C140" s="598"/>
      <c r="D140" s="598"/>
      <c r="E140" s="598"/>
      <c r="F140" s="598"/>
      <c r="G140" s="598"/>
      <c r="H140" s="598"/>
      <c r="I140" s="598"/>
      <c r="J140" s="100" t="s">
        <v>85</v>
      </c>
    </row>
    <row r="141" spans="1:10" ht="15" customHeight="1" x14ac:dyDescent="0.35">
      <c r="A141" s="109" t="s">
        <v>34</v>
      </c>
      <c r="B141" s="565" t="s">
        <v>177</v>
      </c>
      <c r="C141" s="565"/>
      <c r="D141" s="565"/>
      <c r="E141" s="565"/>
      <c r="F141" s="565"/>
      <c r="G141" s="565"/>
      <c r="H141" s="565"/>
      <c r="I141" s="565"/>
      <c r="J141" s="93">
        <f>J25</f>
        <v>1224.55</v>
      </c>
    </row>
    <row r="142" spans="1:10" ht="15" customHeight="1" x14ac:dyDescent="0.35">
      <c r="A142" s="109" t="s">
        <v>36</v>
      </c>
      <c r="B142" s="565" t="s">
        <v>80</v>
      </c>
      <c r="C142" s="565"/>
      <c r="D142" s="565"/>
      <c r="E142" s="565"/>
      <c r="F142" s="565"/>
      <c r="G142" s="565"/>
      <c r="H142" s="565"/>
      <c r="I142" s="565"/>
      <c r="J142" s="93">
        <f>J68</f>
        <v>1224.53</v>
      </c>
    </row>
    <row r="143" spans="1:10" ht="15" customHeight="1" x14ac:dyDescent="0.35">
      <c r="A143" s="109" t="s">
        <v>38</v>
      </c>
      <c r="B143" s="565" t="s">
        <v>178</v>
      </c>
      <c r="C143" s="565"/>
      <c r="D143" s="565"/>
      <c r="E143" s="565"/>
      <c r="F143" s="565"/>
      <c r="G143" s="565"/>
      <c r="H143" s="565"/>
      <c r="I143" s="565"/>
      <c r="J143" s="93">
        <f>J78</f>
        <v>73.05</v>
      </c>
    </row>
    <row r="144" spans="1:10" ht="15" customHeight="1" x14ac:dyDescent="0.35">
      <c r="A144" s="109" t="s">
        <v>40</v>
      </c>
      <c r="B144" s="565" t="s">
        <v>179</v>
      </c>
      <c r="C144" s="565"/>
      <c r="D144" s="565"/>
      <c r="E144" s="565"/>
      <c r="F144" s="565"/>
      <c r="G144" s="565"/>
      <c r="H144" s="565"/>
      <c r="I144" s="565"/>
      <c r="J144" s="93">
        <f>J106</f>
        <v>197.48</v>
      </c>
    </row>
    <row r="145" spans="1:10" ht="15" customHeight="1" x14ac:dyDescent="0.35">
      <c r="A145" s="109" t="s">
        <v>73</v>
      </c>
      <c r="B145" s="565" t="s">
        <v>180</v>
      </c>
      <c r="C145" s="565"/>
      <c r="D145" s="565"/>
      <c r="E145" s="565"/>
      <c r="F145" s="565"/>
      <c r="G145" s="565"/>
      <c r="H145" s="565"/>
      <c r="I145" s="565"/>
      <c r="J145" s="93">
        <f>J114</f>
        <v>39.434345</v>
      </c>
    </row>
    <row r="146" spans="1:10" ht="15" customHeight="1" x14ac:dyDescent="0.35">
      <c r="A146" s="572" t="s">
        <v>181</v>
      </c>
      <c r="B146" s="572"/>
      <c r="C146" s="572"/>
      <c r="D146" s="572"/>
      <c r="E146" s="572"/>
      <c r="F146" s="572"/>
      <c r="G146" s="572"/>
      <c r="H146" s="572"/>
      <c r="I146" s="572"/>
      <c r="J146" s="99">
        <f>SUM(J141:J145)</f>
        <v>2759.0443450000002</v>
      </c>
    </row>
    <row r="147" spans="1:10" ht="15" customHeight="1" x14ac:dyDescent="0.35">
      <c r="A147" s="109" t="s">
        <v>76</v>
      </c>
      <c r="B147" s="565" t="s">
        <v>182</v>
      </c>
      <c r="C147" s="565"/>
      <c r="D147" s="565"/>
      <c r="E147" s="565"/>
      <c r="F147" s="565"/>
      <c r="G147" s="565"/>
      <c r="H147" s="565"/>
      <c r="I147" s="565"/>
      <c r="J147" s="93">
        <f>J132</f>
        <v>304.29999999999995</v>
      </c>
    </row>
    <row r="148" spans="1:10" ht="15" customHeight="1" x14ac:dyDescent="0.35">
      <c r="A148" s="566" t="s">
        <v>270</v>
      </c>
      <c r="B148" s="566"/>
      <c r="C148" s="566"/>
      <c r="D148" s="566"/>
      <c r="E148" s="566"/>
      <c r="F148" s="566"/>
      <c r="G148" s="566"/>
      <c r="H148" s="566"/>
      <c r="I148" s="566"/>
      <c r="J148" s="110">
        <f>SUM(J146:J147)</f>
        <v>3063.3443450000004</v>
      </c>
    </row>
    <row r="149" spans="1:10" x14ac:dyDescent="0.35">
      <c r="A149" s="567"/>
      <c r="B149" s="567"/>
      <c r="C149" s="567"/>
      <c r="D149" s="567"/>
      <c r="E149" s="567"/>
      <c r="F149" s="567"/>
      <c r="G149" s="567"/>
      <c r="H149" s="567"/>
      <c r="I149" s="567"/>
      <c r="J149" s="567"/>
    </row>
    <row r="150" spans="1:10" ht="15" customHeight="1" x14ac:dyDescent="0.35">
      <c r="A150" s="568" t="s">
        <v>188</v>
      </c>
      <c r="B150" s="568"/>
      <c r="C150" s="568"/>
      <c r="D150" s="568"/>
      <c r="E150" s="568"/>
      <c r="F150" s="568"/>
      <c r="G150" s="569">
        <v>3063.34</v>
      </c>
      <c r="H150" s="569"/>
      <c r="I150" s="569"/>
      <c r="J150" s="569"/>
    </row>
  </sheetData>
  <mergeCells count="162">
    <mergeCell ref="A1:J1"/>
    <mergeCell ref="A2:J2"/>
    <mergeCell ref="A3:J3"/>
    <mergeCell ref="A4:J4"/>
    <mergeCell ref="A5:J5"/>
    <mergeCell ref="A6:J6"/>
    <mergeCell ref="B7:G7"/>
    <mergeCell ref="H7:J7"/>
    <mergeCell ref="B8:G8"/>
    <mergeCell ref="H8:J8"/>
    <mergeCell ref="B9:G9"/>
    <mergeCell ref="H9:J9"/>
    <mergeCell ref="B10:G10"/>
    <mergeCell ref="H10:J10"/>
    <mergeCell ref="A11:J11"/>
    <mergeCell ref="A12:J12"/>
    <mergeCell ref="A13:J13"/>
    <mergeCell ref="A14:J14"/>
    <mergeCell ref="B15:G15"/>
    <mergeCell ref="H15:J15"/>
    <mergeCell ref="B16:G16"/>
    <mergeCell ref="H16:J16"/>
    <mergeCell ref="B17:G17"/>
    <mergeCell ref="H17:J17"/>
    <mergeCell ref="B18:G18"/>
    <mergeCell ref="H18:J18"/>
    <mergeCell ref="B19:G19"/>
    <mergeCell ref="H19:J19"/>
    <mergeCell ref="A20:J20"/>
    <mergeCell ref="A21:J21"/>
    <mergeCell ref="B22:I22"/>
    <mergeCell ref="B23:I23"/>
    <mergeCell ref="B24:I24"/>
    <mergeCell ref="A25:I25"/>
    <mergeCell ref="A26:J26"/>
    <mergeCell ref="A27:J27"/>
    <mergeCell ref="A28:J28"/>
    <mergeCell ref="B29:I29"/>
    <mergeCell ref="B30:H30"/>
    <mergeCell ref="B31:H31"/>
    <mergeCell ref="A32:I32"/>
    <mergeCell ref="B33:I33"/>
    <mergeCell ref="A34:I34"/>
    <mergeCell ref="A35:J35"/>
    <mergeCell ref="A36:J36"/>
    <mergeCell ref="B37:H37"/>
    <mergeCell ref="B38:H38"/>
    <mergeCell ref="B39:H39"/>
    <mergeCell ref="B40:D40"/>
    <mergeCell ref="B41:H41"/>
    <mergeCell ref="B42:H42"/>
    <mergeCell ref="B43:H43"/>
    <mergeCell ref="B44:H44"/>
    <mergeCell ref="B45:H45"/>
    <mergeCell ref="A46:H46"/>
    <mergeCell ref="A47:J47"/>
    <mergeCell ref="A48:J48"/>
    <mergeCell ref="B49:I49"/>
    <mergeCell ref="A50:A53"/>
    <mergeCell ref="B50:I50"/>
    <mergeCell ref="B51:H51"/>
    <mergeCell ref="B52:H52"/>
    <mergeCell ref="B53:H53"/>
    <mergeCell ref="A54:A56"/>
    <mergeCell ref="B54:I54"/>
    <mergeCell ref="B55:H55"/>
    <mergeCell ref="B56:H56"/>
    <mergeCell ref="B57:I57"/>
    <mergeCell ref="B58:I58"/>
    <mergeCell ref="B59:I59"/>
    <mergeCell ref="B60:I60"/>
    <mergeCell ref="A61:I61"/>
    <mergeCell ref="A62:J62"/>
    <mergeCell ref="A63:J63"/>
    <mergeCell ref="B64:I64"/>
    <mergeCell ref="B65:I65"/>
    <mergeCell ref="B66:I66"/>
    <mergeCell ref="B67:I67"/>
    <mergeCell ref="A68:I68"/>
    <mergeCell ref="A69:J69"/>
    <mergeCell ref="A70:J70"/>
    <mergeCell ref="B71:I71"/>
    <mergeCell ref="B72:I72"/>
    <mergeCell ref="B73:I73"/>
    <mergeCell ref="B74:H74"/>
    <mergeCell ref="B75:I75"/>
    <mergeCell ref="B76:I76"/>
    <mergeCell ref="B77:H77"/>
    <mergeCell ref="A78:I78"/>
    <mergeCell ref="A79:J79"/>
    <mergeCell ref="A80:J80"/>
    <mergeCell ref="A81:I81"/>
    <mergeCell ref="A82:J82"/>
    <mergeCell ref="A83:J83"/>
    <mergeCell ref="B84:I84"/>
    <mergeCell ref="B85:H85"/>
    <mergeCell ref="B86:I86"/>
    <mergeCell ref="B87:I87"/>
    <mergeCell ref="B88:I88"/>
    <mergeCell ref="B89:I89"/>
    <mergeCell ref="B90:I90"/>
    <mergeCell ref="A91:I91"/>
    <mergeCell ref="B92:I92"/>
    <mergeCell ref="A93:I93"/>
    <mergeCell ref="A95:J95"/>
    <mergeCell ref="B96:I96"/>
    <mergeCell ref="B97:I97"/>
    <mergeCell ref="A98:I98"/>
    <mergeCell ref="B99:I99"/>
    <mergeCell ref="A100:I100"/>
    <mergeCell ref="A101:J101"/>
    <mergeCell ref="A102:J102"/>
    <mergeCell ref="B103:I103"/>
    <mergeCell ref="B104:I104"/>
    <mergeCell ref="B105:I105"/>
    <mergeCell ref="A106:I106"/>
    <mergeCell ref="A107:J107"/>
    <mergeCell ref="A108:J108"/>
    <mergeCell ref="B109:I109"/>
    <mergeCell ref="B110:I110"/>
    <mergeCell ref="B111:I111"/>
    <mergeCell ref="B112:I112"/>
    <mergeCell ref="B113:I113"/>
    <mergeCell ref="A114:I114"/>
    <mergeCell ref="A115:J115"/>
    <mergeCell ref="A116:J116"/>
    <mergeCell ref="B117:H117"/>
    <mergeCell ref="A118:H118"/>
    <mergeCell ref="B119:H119"/>
    <mergeCell ref="A120:H120"/>
    <mergeCell ref="B121:H121"/>
    <mergeCell ref="A122:H122"/>
    <mergeCell ref="B123:H123"/>
    <mergeCell ref="B124:H124"/>
    <mergeCell ref="B125:H125"/>
    <mergeCell ref="B126:H126"/>
    <mergeCell ref="B127:H127"/>
    <mergeCell ref="B128:H128"/>
    <mergeCell ref="B129:H129"/>
    <mergeCell ref="B130:H130"/>
    <mergeCell ref="B131:H131"/>
    <mergeCell ref="A132:I132"/>
    <mergeCell ref="A133:J133"/>
    <mergeCell ref="A134:H134"/>
    <mergeCell ref="A135:C137"/>
    <mergeCell ref="D135:J135"/>
    <mergeCell ref="D136:J136"/>
    <mergeCell ref="D137:J137"/>
    <mergeCell ref="B147:I147"/>
    <mergeCell ref="A148:I148"/>
    <mergeCell ref="A149:J149"/>
    <mergeCell ref="A150:F150"/>
    <mergeCell ref="G150:J150"/>
    <mergeCell ref="A138:J138"/>
    <mergeCell ref="A139:J139"/>
    <mergeCell ref="A140:I140"/>
    <mergeCell ref="B141:I141"/>
    <mergeCell ref="B142:I142"/>
    <mergeCell ref="B143:I143"/>
    <mergeCell ref="B144:I144"/>
    <mergeCell ref="B145:I145"/>
    <mergeCell ref="A146:I146"/>
  </mergeCells>
  <printOptions horizontalCentered="1" verticalCentered="1"/>
  <pageMargins left="0" right="0" top="0" bottom="0.13888888888888901" header="0.511811023622047" footer="0"/>
  <pageSetup paperSize="9" pageOrder="overThenDown" orientation="portrait" useFirstPageNumber="1" horizontalDpi="300" verticalDpi="300"/>
  <headerFooter>
    <oddFooter>&amp;C&amp;10Página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160"/>
  <sheetViews>
    <sheetView zoomScaleNormal="100" workbookViewId="0"/>
  </sheetViews>
  <sheetFormatPr defaultColWidth="8.83203125" defaultRowHeight="14.5" x14ac:dyDescent="0.3"/>
  <cols>
    <col min="1" max="1" width="9.33203125" style="66" customWidth="1"/>
    <col min="2" max="2" width="9.75" style="66" customWidth="1"/>
    <col min="3" max="7" width="10.33203125" style="66" customWidth="1"/>
    <col min="8" max="8" width="12.83203125" style="66" customWidth="1"/>
    <col min="9" max="9" width="9.75" style="66" customWidth="1"/>
    <col min="10" max="10" width="9.25" style="66" customWidth="1"/>
    <col min="11" max="257" width="10.33203125" style="66" customWidth="1"/>
    <col min="258" max="1024" width="8.83203125" style="66"/>
  </cols>
  <sheetData>
    <row r="1" spans="1:10" ht="21.75" customHeight="1" x14ac:dyDescent="0.3">
      <c r="A1" s="595" t="s">
        <v>271</v>
      </c>
      <c r="B1" s="595"/>
      <c r="C1" s="595"/>
      <c r="D1" s="595"/>
      <c r="E1" s="595"/>
      <c r="F1" s="595"/>
      <c r="G1" s="595"/>
      <c r="H1" s="595"/>
      <c r="I1" s="595"/>
      <c r="J1" s="595"/>
    </row>
    <row r="2" spans="1:10" ht="19.5" customHeight="1" x14ac:dyDescent="0.3">
      <c r="A2" s="596" t="s">
        <v>30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19.5" customHeight="1" x14ac:dyDescent="0.3">
      <c r="A3" s="568" t="s">
        <v>206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ht="19.5" customHeight="1" x14ac:dyDescent="0.3">
      <c r="A4" s="568" t="s">
        <v>207</v>
      </c>
      <c r="B4" s="568"/>
      <c r="C4" s="568"/>
      <c r="D4" s="568"/>
      <c r="E4" s="568"/>
      <c r="F4" s="568"/>
      <c r="G4" s="568"/>
      <c r="H4" s="568"/>
      <c r="I4" s="568"/>
      <c r="J4" s="568"/>
    </row>
    <row r="5" spans="1:10" ht="18.75" customHeight="1" x14ac:dyDescent="0.35">
      <c r="A5" s="567"/>
      <c r="B5" s="567"/>
      <c r="C5" s="567"/>
      <c r="D5" s="567"/>
      <c r="E5" s="567"/>
      <c r="F5" s="567"/>
      <c r="G5" s="567"/>
      <c r="H5" s="567"/>
      <c r="I5" s="567"/>
      <c r="J5" s="567"/>
    </row>
    <row r="6" spans="1:10" ht="19.5" customHeight="1" x14ac:dyDescent="0.3">
      <c r="A6" s="570" t="s">
        <v>33</v>
      </c>
      <c r="B6" s="570"/>
      <c r="C6" s="570"/>
      <c r="D6" s="570"/>
      <c r="E6" s="570"/>
      <c r="F6" s="570"/>
      <c r="G6" s="570"/>
      <c r="H6" s="570"/>
      <c r="I6" s="570"/>
      <c r="J6" s="570"/>
    </row>
    <row r="7" spans="1:10" ht="19.5" customHeight="1" x14ac:dyDescent="0.35">
      <c r="A7" s="67" t="s">
        <v>34</v>
      </c>
      <c r="B7" s="568" t="s">
        <v>35</v>
      </c>
      <c r="C7" s="568"/>
      <c r="D7" s="568"/>
      <c r="E7" s="568"/>
      <c r="F7" s="568"/>
      <c r="G7" s="568"/>
      <c r="H7" s="597" t="s">
        <v>164</v>
      </c>
      <c r="I7" s="597"/>
      <c r="J7" s="597"/>
    </row>
    <row r="8" spans="1:10" ht="19.5" customHeight="1" x14ac:dyDescent="0.3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  <c r="J8" s="593"/>
    </row>
    <row r="9" spans="1:10" ht="19.5" customHeight="1" x14ac:dyDescent="0.3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272</v>
      </c>
      <c r="I9" s="593"/>
      <c r="J9" s="593"/>
    </row>
    <row r="10" spans="1:10" ht="19.5" customHeight="1" x14ac:dyDescent="0.3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  <c r="J10" s="594"/>
    </row>
    <row r="11" spans="1:10" ht="18.75" customHeight="1" x14ac:dyDescent="0.35">
      <c r="A11" s="567"/>
      <c r="B11" s="567"/>
      <c r="C11" s="567"/>
      <c r="D11" s="567"/>
      <c r="E11" s="567"/>
      <c r="F11" s="567"/>
      <c r="G11" s="567"/>
      <c r="H11" s="567"/>
      <c r="I11" s="567"/>
      <c r="J11" s="567"/>
    </row>
    <row r="12" spans="1:10" ht="48" customHeight="1" x14ac:dyDescent="0.3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  <c r="J12" s="570"/>
    </row>
    <row r="13" spans="1:10" ht="18.75" customHeight="1" x14ac:dyDescent="0.35">
      <c r="A13" s="567"/>
      <c r="B13" s="567"/>
      <c r="C13" s="567"/>
      <c r="D13" s="567"/>
      <c r="E13" s="567"/>
      <c r="F13" s="567"/>
      <c r="G13" s="567"/>
      <c r="H13" s="567"/>
      <c r="I13" s="567"/>
      <c r="J13" s="567"/>
    </row>
    <row r="14" spans="1:10" ht="19.5" customHeight="1" x14ac:dyDescent="0.3">
      <c r="A14" s="586" t="s">
        <v>47</v>
      </c>
      <c r="B14" s="586"/>
      <c r="C14" s="586"/>
      <c r="D14" s="586"/>
      <c r="E14" s="586"/>
      <c r="F14" s="586"/>
      <c r="G14" s="586"/>
      <c r="H14" s="586"/>
      <c r="I14" s="586"/>
      <c r="J14" s="586"/>
    </row>
    <row r="15" spans="1:10" ht="19.5" customHeight="1" x14ac:dyDescent="0.3">
      <c r="A15" s="67">
        <v>2</v>
      </c>
      <c r="B15" s="568" t="s">
        <v>49</v>
      </c>
      <c r="C15" s="568"/>
      <c r="D15" s="568"/>
      <c r="E15" s="568"/>
      <c r="F15" s="568"/>
      <c r="G15" s="568"/>
      <c r="H15" s="575">
        <v>7823</v>
      </c>
      <c r="I15" s="575"/>
      <c r="J15" s="575"/>
    </row>
    <row r="16" spans="1:10" ht="19.5" customHeight="1" x14ac:dyDescent="0.3">
      <c r="A16" s="67">
        <v>3</v>
      </c>
      <c r="B16" s="568" t="s">
        <v>212</v>
      </c>
      <c r="C16" s="568"/>
      <c r="D16" s="568"/>
      <c r="E16" s="568"/>
      <c r="F16" s="568"/>
      <c r="G16" s="568"/>
      <c r="H16" s="591">
        <v>1232.8699999999999</v>
      </c>
      <c r="I16" s="591"/>
      <c r="J16" s="591"/>
    </row>
    <row r="17" spans="1:10" ht="19.5" customHeight="1" x14ac:dyDescent="0.3">
      <c r="A17" s="67">
        <v>4</v>
      </c>
      <c r="B17" s="568" t="s">
        <v>51</v>
      </c>
      <c r="C17" s="568"/>
      <c r="D17" s="568"/>
      <c r="E17" s="568"/>
      <c r="F17" s="568"/>
      <c r="G17" s="568"/>
      <c r="H17" s="575" t="s">
        <v>273</v>
      </c>
      <c r="I17" s="575"/>
      <c r="J17" s="575"/>
    </row>
    <row r="18" spans="1:10" ht="19.5" customHeight="1" x14ac:dyDescent="0.3">
      <c r="A18" s="67">
        <v>5</v>
      </c>
      <c r="B18" s="568" t="s">
        <v>52</v>
      </c>
      <c r="C18" s="568"/>
      <c r="D18" s="568"/>
      <c r="E18" s="568"/>
      <c r="F18" s="568"/>
      <c r="G18" s="568"/>
      <c r="H18" s="592">
        <v>44044</v>
      </c>
      <c r="I18" s="592"/>
      <c r="J18" s="592"/>
    </row>
    <row r="19" spans="1:10" ht="18.75" customHeight="1" x14ac:dyDescent="0.35">
      <c r="A19" s="567"/>
      <c r="B19" s="567"/>
      <c r="C19" s="567"/>
      <c r="D19" s="567"/>
      <c r="E19" s="567"/>
      <c r="F19" s="567"/>
      <c r="G19" s="567"/>
      <c r="H19" s="567"/>
      <c r="I19" s="567"/>
      <c r="J19" s="567"/>
    </row>
    <row r="20" spans="1:10" ht="19.5" customHeight="1" x14ac:dyDescent="0.3">
      <c r="A20" s="577" t="s">
        <v>214</v>
      </c>
      <c r="B20" s="577"/>
      <c r="C20" s="577"/>
      <c r="D20" s="577"/>
      <c r="E20" s="577"/>
      <c r="F20" s="577"/>
      <c r="G20" s="577"/>
      <c r="H20" s="577"/>
      <c r="I20" s="577"/>
      <c r="J20" s="577"/>
    </row>
    <row r="21" spans="1:10" ht="19.5" customHeight="1" x14ac:dyDescent="0.3">
      <c r="A21" s="70">
        <v>1</v>
      </c>
      <c r="B21" s="579" t="s">
        <v>65</v>
      </c>
      <c r="C21" s="579"/>
      <c r="D21" s="579"/>
      <c r="E21" s="579"/>
      <c r="F21" s="579"/>
      <c r="G21" s="579"/>
      <c r="H21" s="579"/>
      <c r="I21" s="579"/>
      <c r="J21" s="70" t="s">
        <v>85</v>
      </c>
    </row>
    <row r="22" spans="1:10" ht="19.5" customHeight="1" x14ac:dyDescent="0.3">
      <c r="A22" s="67" t="s">
        <v>34</v>
      </c>
      <c r="B22" s="568" t="s">
        <v>215</v>
      </c>
      <c r="C22" s="568"/>
      <c r="D22" s="568"/>
      <c r="E22" s="568"/>
      <c r="F22" s="568"/>
      <c r="G22" s="568"/>
      <c r="H22" s="568"/>
      <c r="I22" s="568"/>
      <c r="J22" s="91">
        <f>H16</f>
        <v>1232.8699999999999</v>
      </c>
    </row>
    <row r="23" spans="1:10" ht="19.5" customHeight="1" x14ac:dyDescent="0.3">
      <c r="A23" s="67" t="s">
        <v>36</v>
      </c>
      <c r="B23" s="568" t="s">
        <v>74</v>
      </c>
      <c r="C23" s="568"/>
      <c r="D23" s="568"/>
      <c r="E23" s="568"/>
      <c r="F23" s="568"/>
      <c r="G23" s="568"/>
      <c r="H23" s="568"/>
      <c r="I23" s="568"/>
      <c r="J23" s="91"/>
    </row>
    <row r="24" spans="1:10" ht="19.5" customHeight="1" x14ac:dyDescent="0.3">
      <c r="A24" s="580" t="s">
        <v>75</v>
      </c>
      <c r="B24" s="580"/>
      <c r="C24" s="580"/>
      <c r="D24" s="580"/>
      <c r="E24" s="580"/>
      <c r="F24" s="580"/>
      <c r="G24" s="580"/>
      <c r="H24" s="580"/>
      <c r="I24" s="580"/>
      <c r="J24" s="111">
        <f>SUM(J22:J23)</f>
        <v>1232.8699999999999</v>
      </c>
    </row>
    <row r="25" spans="1:10" ht="18.75" customHeight="1" x14ac:dyDescent="0.35">
      <c r="A25" s="567"/>
      <c r="B25" s="567"/>
      <c r="C25" s="567"/>
      <c r="D25" s="567"/>
      <c r="E25" s="567"/>
      <c r="F25" s="567"/>
      <c r="G25" s="567"/>
      <c r="H25" s="567"/>
      <c r="I25" s="567"/>
      <c r="J25" s="567"/>
    </row>
    <row r="26" spans="1:10" ht="19.5" customHeight="1" x14ac:dyDescent="0.3">
      <c r="A26" s="577" t="s">
        <v>216</v>
      </c>
      <c r="B26" s="577"/>
      <c r="C26" s="577"/>
      <c r="D26" s="577"/>
      <c r="E26" s="577"/>
      <c r="F26" s="577"/>
      <c r="G26" s="577"/>
      <c r="H26" s="577"/>
      <c r="I26" s="577"/>
      <c r="J26" s="577"/>
    </row>
    <row r="27" spans="1:10" ht="20.25" customHeight="1" x14ac:dyDescent="0.3">
      <c r="A27" s="587" t="s">
        <v>217</v>
      </c>
      <c r="B27" s="587"/>
      <c r="C27" s="587"/>
      <c r="D27" s="587"/>
      <c r="E27" s="587"/>
      <c r="F27" s="587"/>
      <c r="G27" s="587"/>
      <c r="H27" s="587"/>
      <c r="I27" s="587"/>
      <c r="J27" s="587"/>
    </row>
    <row r="28" spans="1:10" ht="19.5" customHeight="1" x14ac:dyDescent="0.3">
      <c r="A28" s="74" t="s">
        <v>82</v>
      </c>
      <c r="B28" s="590" t="s">
        <v>118</v>
      </c>
      <c r="C28" s="590"/>
      <c r="D28" s="590"/>
      <c r="E28" s="590"/>
      <c r="F28" s="590"/>
      <c r="G28" s="590"/>
      <c r="H28" s="590"/>
      <c r="I28" s="590"/>
      <c r="J28" s="75" t="s">
        <v>85</v>
      </c>
    </row>
    <row r="29" spans="1:10" ht="41.25" customHeight="1" x14ac:dyDescent="0.3">
      <c r="A29" s="76" t="s">
        <v>34</v>
      </c>
      <c r="B29" s="568" t="s">
        <v>218</v>
      </c>
      <c r="C29" s="568"/>
      <c r="D29" s="568"/>
      <c r="E29" s="568"/>
      <c r="F29" s="568"/>
      <c r="G29" s="568"/>
      <c r="H29" s="568"/>
      <c r="I29" s="77">
        <v>8.3299999999999999E-2</v>
      </c>
      <c r="J29" s="78">
        <f>ROUND($J$24*I29,2)</f>
        <v>102.7</v>
      </c>
    </row>
    <row r="30" spans="1:10" ht="19.5" customHeight="1" x14ac:dyDescent="0.3">
      <c r="A30" s="76" t="s">
        <v>36</v>
      </c>
      <c r="B30" s="589" t="s">
        <v>87</v>
      </c>
      <c r="C30" s="589"/>
      <c r="D30" s="589"/>
      <c r="E30" s="589"/>
      <c r="F30" s="589"/>
      <c r="G30" s="589"/>
      <c r="H30" s="589"/>
      <c r="I30" s="79">
        <v>3.0249999999999999E-2</v>
      </c>
      <c r="J30" s="78">
        <f>ROUND($J$24*I30,2)</f>
        <v>37.29</v>
      </c>
    </row>
    <row r="31" spans="1:10" ht="18.75" customHeight="1" x14ac:dyDescent="0.3">
      <c r="A31" s="583" t="s">
        <v>75</v>
      </c>
      <c r="B31" s="583"/>
      <c r="C31" s="583"/>
      <c r="D31" s="583"/>
      <c r="E31" s="583"/>
      <c r="F31" s="583"/>
      <c r="G31" s="583"/>
      <c r="H31" s="583"/>
      <c r="I31" s="583"/>
      <c r="J31" s="112">
        <f>SUM(J29+J30)</f>
        <v>139.99</v>
      </c>
    </row>
    <row r="32" spans="1:10" ht="18.75" customHeight="1" x14ac:dyDescent="0.3">
      <c r="A32" s="76" t="s">
        <v>38</v>
      </c>
      <c r="B32" s="573" t="s">
        <v>219</v>
      </c>
      <c r="C32" s="573"/>
      <c r="D32" s="573"/>
      <c r="E32" s="573"/>
      <c r="F32" s="573"/>
      <c r="G32" s="573"/>
      <c r="H32" s="573"/>
      <c r="I32" s="573"/>
      <c r="J32" s="81">
        <f>ROUND(I45*J31,2)</f>
        <v>50.09</v>
      </c>
    </row>
    <row r="33" spans="1:10" ht="18.75" customHeight="1" x14ac:dyDescent="0.3">
      <c r="A33" s="574" t="s">
        <v>75</v>
      </c>
      <c r="B33" s="574"/>
      <c r="C33" s="574"/>
      <c r="D33" s="574"/>
      <c r="E33" s="574"/>
      <c r="F33" s="574"/>
      <c r="G33" s="574"/>
      <c r="H33" s="574"/>
      <c r="I33" s="574"/>
      <c r="J33" s="83">
        <f>J31+J32</f>
        <v>190.08</v>
      </c>
    </row>
    <row r="34" spans="1:10" ht="18.75" customHeight="1" x14ac:dyDescent="0.35">
      <c r="A34" s="567"/>
      <c r="B34" s="567"/>
      <c r="C34" s="567"/>
      <c r="D34" s="567"/>
      <c r="E34" s="567"/>
      <c r="F34" s="567"/>
      <c r="G34" s="567"/>
      <c r="H34" s="567"/>
      <c r="I34" s="567"/>
      <c r="J34" s="567"/>
    </row>
    <row r="35" spans="1:10" ht="18.75" customHeight="1" x14ac:dyDescent="0.3">
      <c r="A35" s="587" t="s">
        <v>220</v>
      </c>
      <c r="B35" s="587"/>
      <c r="C35" s="587"/>
      <c r="D35" s="587"/>
      <c r="E35" s="587"/>
      <c r="F35" s="587"/>
      <c r="G35" s="587"/>
      <c r="H35" s="587"/>
      <c r="I35" s="587"/>
      <c r="J35" s="587"/>
    </row>
    <row r="36" spans="1:10" ht="19.5" customHeight="1" x14ac:dyDescent="0.3">
      <c r="A36" s="74" t="s">
        <v>89</v>
      </c>
      <c r="B36" s="582" t="s">
        <v>90</v>
      </c>
      <c r="C36" s="582"/>
      <c r="D36" s="582"/>
      <c r="E36" s="582"/>
      <c r="F36" s="582"/>
      <c r="G36" s="582"/>
      <c r="H36" s="582"/>
      <c r="I36" s="75" t="s">
        <v>221</v>
      </c>
      <c r="J36" s="75" t="s">
        <v>85</v>
      </c>
    </row>
    <row r="37" spans="1:10" ht="18.75" customHeight="1" x14ac:dyDescent="0.3">
      <c r="A37" s="76" t="s">
        <v>34</v>
      </c>
      <c r="B37" s="573" t="s">
        <v>91</v>
      </c>
      <c r="C37" s="573"/>
      <c r="D37" s="573"/>
      <c r="E37" s="573"/>
      <c r="F37" s="573"/>
      <c r="G37" s="573"/>
      <c r="H37" s="573"/>
      <c r="I37" s="84">
        <v>0.2</v>
      </c>
      <c r="J37" s="81">
        <f t="shared" ref="J37:J44" si="0">ROUND($J$24*I37,2)</f>
        <v>246.57</v>
      </c>
    </row>
    <row r="38" spans="1:10" ht="18.75" customHeight="1" x14ac:dyDescent="0.3">
      <c r="A38" s="76" t="s">
        <v>36</v>
      </c>
      <c r="B38" s="573" t="s">
        <v>92</v>
      </c>
      <c r="C38" s="573"/>
      <c r="D38" s="573"/>
      <c r="E38" s="573"/>
      <c r="F38" s="573"/>
      <c r="G38" s="573"/>
      <c r="H38" s="573"/>
      <c r="I38" s="84">
        <v>2.5000000000000001E-2</v>
      </c>
      <c r="J38" s="81">
        <f t="shared" si="0"/>
        <v>30.82</v>
      </c>
    </row>
    <row r="39" spans="1:10" ht="42" customHeight="1" x14ac:dyDescent="0.3">
      <c r="A39" s="76" t="s">
        <v>38</v>
      </c>
      <c r="B39" s="568" t="s">
        <v>222</v>
      </c>
      <c r="C39" s="568"/>
      <c r="D39" s="568"/>
      <c r="E39" s="67" t="s">
        <v>94</v>
      </c>
      <c r="F39" s="85">
        <f>Recepcionista!F40</f>
        <v>0.02</v>
      </c>
      <c r="G39" s="67" t="s">
        <v>95</v>
      </c>
      <c r="H39" s="86">
        <f>Recepcionista!H40</f>
        <v>0.99</v>
      </c>
      <c r="I39" s="87">
        <f>ROUND((F39*H39),6)</f>
        <v>1.9800000000000002E-2</v>
      </c>
      <c r="J39" s="81">
        <f t="shared" si="0"/>
        <v>24.41</v>
      </c>
    </row>
    <row r="40" spans="1:10" ht="18.75" customHeight="1" x14ac:dyDescent="0.3">
      <c r="A40" s="76" t="s">
        <v>40</v>
      </c>
      <c r="B40" s="573" t="s">
        <v>96</v>
      </c>
      <c r="C40" s="573"/>
      <c r="D40" s="573"/>
      <c r="E40" s="573"/>
      <c r="F40" s="573"/>
      <c r="G40" s="573"/>
      <c r="H40" s="573"/>
      <c r="I40" s="84">
        <v>1.4999999999999999E-2</v>
      </c>
      <c r="J40" s="81">
        <f t="shared" si="0"/>
        <v>18.489999999999998</v>
      </c>
    </row>
    <row r="41" spans="1:10" ht="18.75" customHeight="1" x14ac:dyDescent="0.3">
      <c r="A41" s="76" t="s">
        <v>73</v>
      </c>
      <c r="B41" s="573" t="s">
        <v>97</v>
      </c>
      <c r="C41" s="573"/>
      <c r="D41" s="573"/>
      <c r="E41" s="573"/>
      <c r="F41" s="573"/>
      <c r="G41" s="573"/>
      <c r="H41" s="573"/>
      <c r="I41" s="84">
        <v>0.01</v>
      </c>
      <c r="J41" s="81">
        <f t="shared" si="0"/>
        <v>12.33</v>
      </c>
    </row>
    <row r="42" spans="1:10" ht="18.75" customHeight="1" x14ac:dyDescent="0.3">
      <c r="A42" s="76" t="s">
        <v>76</v>
      </c>
      <c r="B42" s="573" t="s">
        <v>98</v>
      </c>
      <c r="C42" s="573"/>
      <c r="D42" s="573"/>
      <c r="E42" s="573"/>
      <c r="F42" s="573"/>
      <c r="G42" s="573"/>
      <c r="H42" s="573"/>
      <c r="I42" s="84">
        <v>6.0000000000000001E-3</v>
      </c>
      <c r="J42" s="81">
        <f t="shared" si="0"/>
        <v>7.4</v>
      </c>
    </row>
    <row r="43" spans="1:10" ht="18.75" customHeight="1" x14ac:dyDescent="0.3">
      <c r="A43" s="76" t="s">
        <v>99</v>
      </c>
      <c r="B43" s="573" t="s">
        <v>100</v>
      </c>
      <c r="C43" s="573"/>
      <c r="D43" s="573"/>
      <c r="E43" s="573"/>
      <c r="F43" s="573"/>
      <c r="G43" s="573"/>
      <c r="H43" s="573"/>
      <c r="I43" s="84">
        <v>2E-3</v>
      </c>
      <c r="J43" s="81">
        <f t="shared" si="0"/>
        <v>2.4700000000000002</v>
      </c>
    </row>
    <row r="44" spans="1:10" ht="18.75" customHeight="1" x14ac:dyDescent="0.3">
      <c r="A44" s="76" t="s">
        <v>101</v>
      </c>
      <c r="B44" s="573" t="s">
        <v>102</v>
      </c>
      <c r="C44" s="573"/>
      <c r="D44" s="573"/>
      <c r="E44" s="573"/>
      <c r="F44" s="573"/>
      <c r="G44" s="573"/>
      <c r="H44" s="573"/>
      <c r="I44" s="84">
        <v>0.08</v>
      </c>
      <c r="J44" s="81">
        <f t="shared" si="0"/>
        <v>98.63</v>
      </c>
    </row>
    <row r="45" spans="1:10" ht="18.75" customHeight="1" x14ac:dyDescent="0.3">
      <c r="A45" s="574" t="s">
        <v>75</v>
      </c>
      <c r="B45" s="574"/>
      <c r="C45" s="574"/>
      <c r="D45" s="574"/>
      <c r="E45" s="574"/>
      <c r="F45" s="574"/>
      <c r="G45" s="574"/>
      <c r="H45" s="574"/>
      <c r="I45" s="88">
        <f>SUM(I37:I44)</f>
        <v>0.35780000000000006</v>
      </c>
      <c r="J45" s="83">
        <f>SUM(J37:J44)</f>
        <v>441.12</v>
      </c>
    </row>
    <row r="46" spans="1:10" ht="18.75" customHeight="1" x14ac:dyDescent="0.35">
      <c r="A46" s="567"/>
      <c r="B46" s="567"/>
      <c r="C46" s="567"/>
      <c r="D46" s="567"/>
      <c r="E46" s="567"/>
      <c r="F46" s="567"/>
      <c r="G46" s="567"/>
      <c r="H46" s="567"/>
      <c r="I46" s="567"/>
      <c r="J46" s="567"/>
    </row>
    <row r="47" spans="1:10" ht="18.75" customHeight="1" x14ac:dyDescent="0.3">
      <c r="A47" s="587" t="s">
        <v>103</v>
      </c>
      <c r="B47" s="587"/>
      <c r="C47" s="587"/>
      <c r="D47" s="587"/>
      <c r="E47" s="587"/>
      <c r="F47" s="587"/>
      <c r="G47" s="587"/>
      <c r="H47" s="587"/>
      <c r="I47" s="587"/>
      <c r="J47" s="587"/>
    </row>
    <row r="48" spans="1:10" ht="19.5" customHeight="1" x14ac:dyDescent="0.3">
      <c r="A48" s="74" t="s">
        <v>104</v>
      </c>
      <c r="B48" s="582" t="s">
        <v>105</v>
      </c>
      <c r="C48" s="582"/>
      <c r="D48" s="582"/>
      <c r="E48" s="582"/>
      <c r="F48" s="582"/>
      <c r="G48" s="582"/>
      <c r="H48" s="582"/>
      <c r="I48" s="582"/>
      <c r="J48" s="75" t="s">
        <v>85</v>
      </c>
    </row>
    <row r="49" spans="1:10" ht="30.75" customHeight="1" x14ac:dyDescent="0.3">
      <c r="A49" s="76" t="s">
        <v>34</v>
      </c>
      <c r="B49" s="568" t="s">
        <v>223</v>
      </c>
      <c r="C49" s="568"/>
      <c r="D49" s="568"/>
      <c r="E49" s="568"/>
      <c r="F49" s="568"/>
      <c r="G49" s="568"/>
      <c r="H49" s="568"/>
      <c r="I49" s="568"/>
      <c r="J49" s="81">
        <f>IF(ROUND((I52*I50*I51)-(J22*0.06),2)&lt;0,0,ROUND((I52*I50*I51)-(J22*0.06),2))*1+(I50*I51*21.726-0.06*J22)*0</f>
        <v>84.43</v>
      </c>
    </row>
    <row r="50" spans="1:10" ht="18.75" customHeight="1" x14ac:dyDescent="0.3">
      <c r="A50" s="76"/>
      <c r="B50" s="573" t="s">
        <v>224</v>
      </c>
      <c r="C50" s="573"/>
      <c r="D50" s="573"/>
      <c r="E50" s="573"/>
      <c r="F50" s="573"/>
      <c r="G50" s="573"/>
      <c r="H50" s="573"/>
      <c r="I50" s="89">
        <v>3.6</v>
      </c>
      <c r="J50" s="90" t="s">
        <v>164</v>
      </c>
    </row>
    <row r="51" spans="1:10" ht="18.75" customHeight="1" x14ac:dyDescent="0.3">
      <c r="A51" s="76"/>
      <c r="B51" s="573" t="s">
        <v>225</v>
      </c>
      <c r="C51" s="573"/>
      <c r="D51" s="573"/>
      <c r="E51" s="573"/>
      <c r="F51" s="573"/>
      <c r="G51" s="573"/>
      <c r="H51" s="573"/>
      <c r="I51" s="91">
        <v>2</v>
      </c>
      <c r="J51" s="90"/>
    </row>
    <row r="52" spans="1:10" ht="18.75" customHeight="1" x14ac:dyDescent="0.3">
      <c r="A52" s="76"/>
      <c r="B52" s="573" t="s">
        <v>226</v>
      </c>
      <c r="C52" s="573"/>
      <c r="D52" s="573"/>
      <c r="E52" s="573"/>
      <c r="F52" s="573"/>
      <c r="G52" s="573"/>
      <c r="H52" s="573"/>
      <c r="I52" s="92">
        <v>22</v>
      </c>
      <c r="J52" s="90"/>
    </row>
    <row r="53" spans="1:10" ht="30.75" customHeight="1" x14ac:dyDescent="0.3">
      <c r="A53" s="76" t="s">
        <v>36</v>
      </c>
      <c r="B53" s="568" t="s">
        <v>274</v>
      </c>
      <c r="C53" s="568"/>
      <c r="D53" s="568"/>
      <c r="E53" s="568"/>
      <c r="F53" s="568"/>
      <c r="G53" s="568"/>
      <c r="H53" s="568"/>
      <c r="I53" s="568"/>
      <c r="J53" s="81">
        <f>I54*I55-0.1</f>
        <v>360.69999999999993</v>
      </c>
    </row>
    <row r="54" spans="1:10" ht="18.75" customHeight="1" x14ac:dyDescent="0.3">
      <c r="A54" s="76"/>
      <c r="B54" s="573" t="s">
        <v>228</v>
      </c>
      <c r="C54" s="573"/>
      <c r="D54" s="573"/>
      <c r="E54" s="573"/>
      <c r="F54" s="573"/>
      <c r="G54" s="573"/>
      <c r="H54" s="573"/>
      <c r="I54" s="89">
        <v>16.399999999999999</v>
      </c>
      <c r="J54" s="90" t="s">
        <v>164</v>
      </c>
    </row>
    <row r="55" spans="1:10" ht="18.75" customHeight="1" x14ac:dyDescent="0.3">
      <c r="A55" s="113"/>
      <c r="B55" s="573" t="s">
        <v>229</v>
      </c>
      <c r="C55" s="573"/>
      <c r="D55" s="573"/>
      <c r="E55" s="573"/>
      <c r="F55" s="573"/>
      <c r="G55" s="573"/>
      <c r="H55" s="573"/>
      <c r="I55" s="92">
        <v>22</v>
      </c>
      <c r="J55" s="90"/>
    </row>
    <row r="56" spans="1:10" ht="19.5" customHeight="1" x14ac:dyDescent="0.3">
      <c r="A56" s="76" t="s">
        <v>38</v>
      </c>
      <c r="B56" s="568" t="s">
        <v>230</v>
      </c>
      <c r="C56" s="568"/>
      <c r="D56" s="568"/>
      <c r="E56" s="568"/>
      <c r="F56" s="568"/>
      <c r="G56" s="568"/>
      <c r="H56" s="568"/>
      <c r="I56" s="568"/>
      <c r="J56" s="81">
        <v>0</v>
      </c>
    </row>
    <row r="57" spans="1:10" ht="19.5" customHeight="1" x14ac:dyDescent="0.3">
      <c r="A57" s="76" t="s">
        <v>40</v>
      </c>
      <c r="B57" s="568" t="s">
        <v>231</v>
      </c>
      <c r="C57" s="568"/>
      <c r="D57" s="568"/>
      <c r="E57" s="568"/>
      <c r="F57" s="568"/>
      <c r="G57" s="568"/>
      <c r="H57" s="568"/>
      <c r="I57" s="568"/>
      <c r="J57" s="81">
        <f>Recepcionista!J58</f>
        <v>0.25</v>
      </c>
    </row>
    <row r="58" spans="1:10" ht="19.5" customHeight="1" x14ac:dyDescent="0.3">
      <c r="A58" s="76" t="s">
        <v>73</v>
      </c>
      <c r="B58" s="568" t="s">
        <v>232</v>
      </c>
      <c r="C58" s="568"/>
      <c r="D58" s="568"/>
      <c r="E58" s="568"/>
      <c r="F58" s="568"/>
      <c r="G58" s="568"/>
      <c r="H58" s="568"/>
      <c r="I58" s="568"/>
      <c r="J58" s="93">
        <v>123</v>
      </c>
    </row>
    <row r="59" spans="1:10" ht="19.5" customHeight="1" x14ac:dyDescent="0.3">
      <c r="A59" s="76" t="s">
        <v>76</v>
      </c>
      <c r="B59" s="573" t="s">
        <v>233</v>
      </c>
      <c r="C59" s="573"/>
      <c r="D59" s="573"/>
      <c r="E59" s="573"/>
      <c r="F59" s="573"/>
      <c r="G59" s="573"/>
      <c r="H59" s="573"/>
      <c r="I59" s="573"/>
      <c r="J59" s="93">
        <v>1.35</v>
      </c>
    </row>
    <row r="60" spans="1:10" ht="18.75" customHeight="1" x14ac:dyDescent="0.3">
      <c r="A60" s="574" t="s">
        <v>75</v>
      </c>
      <c r="B60" s="574"/>
      <c r="C60" s="574"/>
      <c r="D60" s="574"/>
      <c r="E60" s="574"/>
      <c r="F60" s="574"/>
      <c r="G60" s="574"/>
      <c r="H60" s="574"/>
      <c r="I60" s="574"/>
      <c r="J60" s="83">
        <f>SUM(J49:J59)</f>
        <v>569.7299999999999</v>
      </c>
    </row>
    <row r="61" spans="1:10" ht="18.75" customHeight="1" x14ac:dyDescent="0.35">
      <c r="A61" s="567"/>
      <c r="B61" s="567"/>
      <c r="C61" s="567"/>
      <c r="D61" s="567"/>
      <c r="E61" s="567"/>
      <c r="F61" s="567"/>
      <c r="G61" s="567"/>
      <c r="H61" s="567"/>
      <c r="I61" s="567"/>
      <c r="J61" s="567"/>
    </row>
    <row r="62" spans="1:10" ht="18.75" customHeight="1" x14ac:dyDescent="0.3">
      <c r="A62" s="587" t="s">
        <v>234</v>
      </c>
      <c r="B62" s="587"/>
      <c r="C62" s="587"/>
      <c r="D62" s="587"/>
      <c r="E62" s="587"/>
      <c r="F62" s="587"/>
      <c r="G62" s="587"/>
      <c r="H62" s="587"/>
      <c r="I62" s="587"/>
      <c r="J62" s="587"/>
    </row>
    <row r="63" spans="1:10" ht="19.5" customHeight="1" x14ac:dyDescent="0.3">
      <c r="A63" s="70">
        <v>2</v>
      </c>
      <c r="B63" s="579" t="s">
        <v>117</v>
      </c>
      <c r="C63" s="579"/>
      <c r="D63" s="579"/>
      <c r="E63" s="579"/>
      <c r="F63" s="579"/>
      <c r="G63" s="579"/>
      <c r="H63" s="579"/>
      <c r="I63" s="579"/>
      <c r="J63" s="70" t="s">
        <v>85</v>
      </c>
    </row>
    <row r="64" spans="1:10" ht="19.5" customHeight="1" x14ac:dyDescent="0.3">
      <c r="A64" s="67" t="s">
        <v>82</v>
      </c>
      <c r="B64" s="67"/>
      <c r="C64" s="568" t="s">
        <v>118</v>
      </c>
      <c r="D64" s="568"/>
      <c r="E64" s="568"/>
      <c r="F64" s="568"/>
      <c r="G64" s="568"/>
      <c r="H64" s="568"/>
      <c r="I64" s="568"/>
      <c r="J64" s="94">
        <f>J33</f>
        <v>190.08</v>
      </c>
    </row>
    <row r="65" spans="1:10" ht="19.5" customHeight="1" x14ac:dyDescent="0.3">
      <c r="A65" s="67" t="s">
        <v>89</v>
      </c>
      <c r="B65" s="67"/>
      <c r="C65" s="568" t="s">
        <v>90</v>
      </c>
      <c r="D65" s="568"/>
      <c r="E65" s="568"/>
      <c r="F65" s="568"/>
      <c r="G65" s="568"/>
      <c r="H65" s="568"/>
      <c r="I65" s="568"/>
      <c r="J65" s="94">
        <f>J45</f>
        <v>441.12</v>
      </c>
    </row>
    <row r="66" spans="1:10" ht="19.5" customHeight="1" x14ac:dyDescent="0.3">
      <c r="A66" s="67" t="s">
        <v>104</v>
      </c>
      <c r="B66" s="67"/>
      <c r="C66" s="568" t="s">
        <v>105</v>
      </c>
      <c r="D66" s="568"/>
      <c r="E66" s="568"/>
      <c r="F66" s="568"/>
      <c r="G66" s="568"/>
      <c r="H66" s="568"/>
      <c r="I66" s="568"/>
      <c r="J66" s="94">
        <f>J60</f>
        <v>569.7299999999999</v>
      </c>
    </row>
    <row r="67" spans="1:10" ht="19.5" customHeight="1" x14ac:dyDescent="0.3">
      <c r="A67" s="580" t="s">
        <v>75</v>
      </c>
      <c r="B67" s="580"/>
      <c r="C67" s="580"/>
      <c r="D67" s="580"/>
      <c r="E67" s="580"/>
      <c r="F67" s="580"/>
      <c r="G67" s="580"/>
      <c r="H67" s="580"/>
      <c r="I67" s="580"/>
      <c r="J67" s="95">
        <f>SUM(J64+J65+J66)</f>
        <v>1200.9299999999998</v>
      </c>
    </row>
    <row r="68" spans="1:10" ht="18.75" customHeight="1" x14ac:dyDescent="0.35">
      <c r="A68" s="567"/>
      <c r="B68" s="567"/>
      <c r="C68" s="567"/>
      <c r="D68" s="567"/>
      <c r="E68" s="567"/>
      <c r="F68" s="567"/>
      <c r="G68" s="567"/>
      <c r="H68" s="567"/>
      <c r="I68" s="567"/>
      <c r="J68" s="567"/>
    </row>
    <row r="69" spans="1:10" ht="19.5" customHeight="1" x14ac:dyDescent="0.3">
      <c r="A69" s="577" t="s">
        <v>235</v>
      </c>
      <c r="B69" s="577"/>
      <c r="C69" s="577"/>
      <c r="D69" s="577"/>
      <c r="E69" s="577"/>
      <c r="F69" s="577"/>
      <c r="G69" s="577"/>
      <c r="H69" s="577"/>
      <c r="I69" s="577"/>
      <c r="J69" s="577"/>
    </row>
    <row r="70" spans="1:10" ht="19.5" customHeight="1" x14ac:dyDescent="0.3">
      <c r="A70" s="96">
        <v>3</v>
      </c>
      <c r="B70" s="579" t="s">
        <v>120</v>
      </c>
      <c r="C70" s="579"/>
      <c r="D70" s="579"/>
      <c r="E70" s="579"/>
      <c r="F70" s="579"/>
      <c r="G70" s="579"/>
      <c r="H70" s="579"/>
      <c r="I70" s="579"/>
      <c r="J70" s="96" t="s">
        <v>121</v>
      </c>
    </row>
    <row r="71" spans="1:10" ht="41.25" customHeight="1" x14ac:dyDescent="0.3">
      <c r="A71" s="76" t="s">
        <v>34</v>
      </c>
      <c r="B71" s="568" t="s">
        <v>275</v>
      </c>
      <c r="C71" s="568"/>
      <c r="D71" s="568"/>
      <c r="E71" s="568"/>
      <c r="F71" s="568"/>
      <c r="G71" s="568"/>
      <c r="H71" s="568"/>
      <c r="I71" s="568"/>
      <c r="J71" s="81">
        <f>ROUND((($J$24/12)+($J$29/12)+($J$24/12/12)+($J$30/12))*(3/30)*0.05,2)</f>
        <v>0.61</v>
      </c>
    </row>
    <row r="72" spans="1:10" ht="19.5" customHeight="1" x14ac:dyDescent="0.3">
      <c r="A72" s="76" t="s">
        <v>36</v>
      </c>
      <c r="B72" s="568" t="s">
        <v>123</v>
      </c>
      <c r="C72" s="568"/>
      <c r="D72" s="568"/>
      <c r="E72" s="568"/>
      <c r="F72" s="568"/>
      <c r="G72" s="568"/>
      <c r="H72" s="568"/>
      <c r="I72" s="568"/>
      <c r="J72" s="81">
        <f>ROUND($J$71*I44,2)</f>
        <v>0.05</v>
      </c>
    </row>
    <row r="73" spans="1:10" ht="41.25" customHeight="1" x14ac:dyDescent="0.3">
      <c r="A73" s="76" t="s">
        <v>38</v>
      </c>
      <c r="B73" s="568" t="s">
        <v>276</v>
      </c>
      <c r="C73" s="568"/>
      <c r="D73" s="568"/>
      <c r="E73" s="568"/>
      <c r="F73" s="568"/>
      <c r="G73" s="568"/>
      <c r="H73" s="568"/>
      <c r="I73" s="98">
        <v>1.9E-3</v>
      </c>
      <c r="J73" s="81">
        <f>ROUND($J$24*I73,2)</f>
        <v>2.34</v>
      </c>
    </row>
    <row r="74" spans="1:10" ht="30.75" customHeight="1" x14ac:dyDescent="0.3">
      <c r="A74" s="76" t="s">
        <v>40</v>
      </c>
      <c r="B74" s="568" t="s">
        <v>277</v>
      </c>
      <c r="C74" s="568"/>
      <c r="D74" s="568"/>
      <c r="E74" s="568"/>
      <c r="F74" s="568"/>
      <c r="G74" s="568"/>
      <c r="H74" s="568"/>
      <c r="I74" s="568"/>
      <c r="J74" s="81">
        <f>0.00194*J24</f>
        <v>2.3917677999999998</v>
      </c>
    </row>
    <row r="75" spans="1:10" ht="19.5" customHeight="1" x14ac:dyDescent="0.3">
      <c r="A75" s="76" t="s">
        <v>73</v>
      </c>
      <c r="B75" s="568" t="s">
        <v>239</v>
      </c>
      <c r="C75" s="568"/>
      <c r="D75" s="568"/>
      <c r="E75" s="568"/>
      <c r="F75" s="568"/>
      <c r="G75" s="568"/>
      <c r="H75" s="568"/>
      <c r="I75" s="568"/>
      <c r="J75" s="81">
        <f>J74*I45</f>
        <v>0.85577451884000011</v>
      </c>
    </row>
    <row r="76" spans="1:10" ht="41.25" customHeight="1" x14ac:dyDescent="0.3">
      <c r="A76" s="76" t="s">
        <v>76</v>
      </c>
      <c r="B76" s="568" t="s">
        <v>278</v>
      </c>
      <c r="C76" s="568"/>
      <c r="D76" s="568"/>
      <c r="E76" s="568"/>
      <c r="F76" s="568"/>
      <c r="G76" s="568"/>
      <c r="H76" s="568"/>
      <c r="I76" s="98">
        <v>3.8100000000000002E-2</v>
      </c>
      <c r="J76" s="81">
        <f>ROUND($J$24*I76,2)</f>
        <v>46.97</v>
      </c>
    </row>
    <row r="77" spans="1:10" ht="18.75" customHeight="1" x14ac:dyDescent="0.3">
      <c r="A77" s="574" t="s">
        <v>75</v>
      </c>
      <c r="B77" s="574"/>
      <c r="C77" s="574"/>
      <c r="D77" s="574"/>
      <c r="E77" s="574"/>
      <c r="F77" s="574"/>
      <c r="G77" s="574"/>
      <c r="H77" s="574"/>
      <c r="I77" s="574"/>
      <c r="J77" s="83">
        <f>SUM(J71:J76)</f>
        <v>53.217542318840003</v>
      </c>
    </row>
    <row r="78" spans="1:10" ht="18.75" customHeight="1" x14ac:dyDescent="0.35">
      <c r="A78" s="567"/>
      <c r="B78" s="567"/>
      <c r="C78" s="567"/>
      <c r="D78" s="567"/>
      <c r="E78" s="567"/>
      <c r="F78" s="567"/>
      <c r="G78" s="567"/>
      <c r="H78" s="567"/>
      <c r="I78" s="567"/>
      <c r="J78" s="567"/>
    </row>
    <row r="79" spans="1:10" ht="19.5" customHeight="1" x14ac:dyDescent="0.3">
      <c r="A79" s="577" t="s">
        <v>241</v>
      </c>
      <c r="B79" s="577"/>
      <c r="C79" s="577"/>
      <c r="D79" s="577"/>
      <c r="E79" s="577"/>
      <c r="F79" s="577"/>
      <c r="G79" s="577"/>
      <c r="H79" s="577"/>
      <c r="I79" s="577"/>
      <c r="J79" s="577"/>
    </row>
    <row r="80" spans="1:10" ht="19.5" customHeight="1" x14ac:dyDescent="0.3">
      <c r="A80" s="585" t="s">
        <v>279</v>
      </c>
      <c r="B80" s="585"/>
      <c r="C80" s="585"/>
      <c r="D80" s="585"/>
      <c r="E80" s="585"/>
      <c r="F80" s="585"/>
      <c r="G80" s="585"/>
      <c r="H80" s="585"/>
      <c r="I80" s="585"/>
      <c r="J80" s="99">
        <f>J84+J24+J29+J30</f>
        <v>1484.74</v>
      </c>
    </row>
    <row r="81" spans="1:10" ht="18.75" customHeight="1" x14ac:dyDescent="0.35">
      <c r="A81" s="567"/>
      <c r="B81" s="567"/>
      <c r="C81" s="567"/>
      <c r="D81" s="567"/>
      <c r="E81" s="567"/>
      <c r="F81" s="567"/>
      <c r="G81" s="567"/>
      <c r="H81" s="567"/>
      <c r="I81" s="567"/>
      <c r="J81" s="567"/>
    </row>
    <row r="82" spans="1:10" ht="19.5" customHeight="1" x14ac:dyDescent="0.3">
      <c r="A82" s="586" t="s">
        <v>243</v>
      </c>
      <c r="B82" s="586"/>
      <c r="C82" s="586"/>
      <c r="D82" s="586"/>
      <c r="E82" s="586"/>
      <c r="F82" s="586"/>
      <c r="G82" s="586"/>
      <c r="H82" s="586"/>
      <c r="I82" s="586"/>
      <c r="J82" s="586"/>
    </row>
    <row r="83" spans="1:10" ht="18.75" customHeight="1" x14ac:dyDescent="0.3">
      <c r="A83" s="74" t="s">
        <v>134</v>
      </c>
      <c r="B83" s="582" t="s">
        <v>244</v>
      </c>
      <c r="C83" s="582"/>
      <c r="D83" s="582"/>
      <c r="E83" s="582"/>
      <c r="F83" s="582"/>
      <c r="G83" s="582"/>
      <c r="H83" s="582"/>
      <c r="I83" s="582"/>
      <c r="J83" s="74" t="s">
        <v>85</v>
      </c>
    </row>
    <row r="84" spans="1:10" ht="42" customHeight="1" x14ac:dyDescent="0.3">
      <c r="A84" s="76" t="s">
        <v>34</v>
      </c>
      <c r="B84" s="568" t="s">
        <v>245</v>
      </c>
      <c r="C84" s="568"/>
      <c r="D84" s="568"/>
      <c r="E84" s="568"/>
      <c r="F84" s="568"/>
      <c r="G84" s="568"/>
      <c r="H84" s="568"/>
      <c r="I84" s="79">
        <v>9.0749999999999997E-2</v>
      </c>
      <c r="J84" s="81">
        <f>ROUND(($J$24*I84),2)</f>
        <v>111.88</v>
      </c>
    </row>
    <row r="85" spans="1:10" ht="30.75" customHeight="1" x14ac:dyDescent="0.3">
      <c r="A85" s="76" t="s">
        <v>36</v>
      </c>
      <c r="B85" s="568" t="s">
        <v>246</v>
      </c>
      <c r="C85" s="568"/>
      <c r="D85" s="568"/>
      <c r="E85" s="568"/>
      <c r="F85" s="568"/>
      <c r="G85" s="568"/>
      <c r="H85" s="568"/>
      <c r="I85" s="568"/>
      <c r="J85" s="91">
        <f>ROUND((($J$80/30)*2.96)/12,2)</f>
        <v>12.21</v>
      </c>
    </row>
    <row r="86" spans="1:10" ht="30.75" customHeight="1" x14ac:dyDescent="0.3">
      <c r="A86" s="76" t="s">
        <v>38</v>
      </c>
      <c r="B86" s="568" t="s">
        <v>247</v>
      </c>
      <c r="C86" s="568"/>
      <c r="D86" s="568"/>
      <c r="E86" s="568"/>
      <c r="F86" s="568"/>
      <c r="G86" s="568"/>
      <c r="H86" s="568"/>
      <c r="I86" s="568"/>
      <c r="J86" s="91">
        <f>ROUND((($J$80/30)*5)/12*0.015,2)</f>
        <v>0.31</v>
      </c>
    </row>
    <row r="87" spans="1:10" ht="30.75" customHeight="1" x14ac:dyDescent="0.3">
      <c r="A87" s="76" t="s">
        <v>40</v>
      </c>
      <c r="B87" s="568" t="s">
        <v>248</v>
      </c>
      <c r="C87" s="568"/>
      <c r="D87" s="568"/>
      <c r="E87" s="568"/>
      <c r="F87" s="568"/>
      <c r="G87" s="568"/>
      <c r="H87" s="568"/>
      <c r="I87" s="568"/>
      <c r="J87" s="81">
        <f>ROUND(((($J$80/30)*15)/12)*0.0078,2)</f>
        <v>0.48</v>
      </c>
    </row>
    <row r="88" spans="1:10" ht="30.75" customHeight="1" x14ac:dyDescent="0.3">
      <c r="A88" s="76" t="s">
        <v>73</v>
      </c>
      <c r="B88" s="568" t="s">
        <v>249</v>
      </c>
      <c r="C88" s="568"/>
      <c r="D88" s="568"/>
      <c r="E88" s="568"/>
      <c r="F88" s="568"/>
      <c r="G88" s="568"/>
      <c r="H88" s="568"/>
      <c r="I88" s="568"/>
      <c r="J88" s="81">
        <f>ROUND(((($J$24+$J$24/3)*4/12)/12)*0.02,2)</f>
        <v>0.91</v>
      </c>
    </row>
    <row r="89" spans="1:10" ht="30.75" customHeight="1" x14ac:dyDescent="0.3">
      <c r="A89" s="76" t="s">
        <v>76</v>
      </c>
      <c r="B89" s="568" t="s">
        <v>250</v>
      </c>
      <c r="C89" s="568"/>
      <c r="D89" s="568"/>
      <c r="E89" s="568"/>
      <c r="F89" s="568"/>
      <c r="G89" s="568"/>
      <c r="H89" s="568"/>
      <c r="I89" s="568"/>
      <c r="J89" s="81">
        <f>ROUND(((($J$80/30)*5)/12),2)</f>
        <v>20.62</v>
      </c>
    </row>
    <row r="90" spans="1:10" ht="18.75" customHeight="1" x14ac:dyDescent="0.3">
      <c r="A90" s="574" t="s">
        <v>75</v>
      </c>
      <c r="B90" s="574"/>
      <c r="C90" s="574"/>
      <c r="D90" s="574"/>
      <c r="E90" s="574"/>
      <c r="F90" s="574"/>
      <c r="G90" s="574"/>
      <c r="H90" s="574"/>
      <c r="I90" s="574"/>
      <c r="J90" s="83">
        <f>SUM(J84:J89)</f>
        <v>146.41</v>
      </c>
    </row>
    <row r="91" spans="1:10" ht="18.75" customHeight="1" x14ac:dyDescent="0.3">
      <c r="A91" s="76" t="s">
        <v>99</v>
      </c>
      <c r="B91" s="573" t="s">
        <v>251</v>
      </c>
      <c r="C91" s="573"/>
      <c r="D91" s="573"/>
      <c r="E91" s="573"/>
      <c r="F91" s="573"/>
      <c r="G91" s="573"/>
      <c r="H91" s="573"/>
      <c r="I91" s="573"/>
      <c r="J91" s="81">
        <f>ROUND(I45*J90,2)</f>
        <v>52.39</v>
      </c>
    </row>
    <row r="92" spans="1:10" ht="18.75" customHeight="1" x14ac:dyDescent="0.3">
      <c r="A92" s="574" t="s">
        <v>75</v>
      </c>
      <c r="B92" s="574"/>
      <c r="C92" s="574"/>
      <c r="D92" s="574"/>
      <c r="E92" s="574"/>
      <c r="F92" s="574"/>
      <c r="G92" s="574"/>
      <c r="H92" s="574"/>
      <c r="I92" s="574"/>
      <c r="J92" s="83">
        <f>SUM(J90:J91)</f>
        <v>198.8</v>
      </c>
    </row>
    <row r="93" spans="1:10" ht="34.5" customHeight="1" x14ac:dyDescent="0.3">
      <c r="A93" s="599" t="s">
        <v>280</v>
      </c>
      <c r="B93" s="599"/>
      <c r="C93" s="599"/>
      <c r="D93" s="599"/>
      <c r="E93" s="599"/>
      <c r="F93" s="599"/>
      <c r="G93" s="599"/>
      <c r="H93" s="599"/>
      <c r="I93" s="599"/>
      <c r="J93" s="599"/>
    </row>
    <row r="94" spans="1:10" ht="18.75" customHeight="1" x14ac:dyDescent="0.35">
      <c r="A94" s="567"/>
      <c r="B94" s="567"/>
      <c r="C94" s="567"/>
      <c r="D94" s="567"/>
      <c r="E94" s="567"/>
      <c r="F94" s="567"/>
      <c r="G94" s="567"/>
      <c r="H94" s="567"/>
      <c r="I94" s="567"/>
      <c r="J94" s="567"/>
    </row>
    <row r="95" spans="1:10" ht="19.5" customHeight="1" x14ac:dyDescent="0.3">
      <c r="A95" s="581" t="s">
        <v>252</v>
      </c>
      <c r="B95" s="581"/>
      <c r="C95" s="581"/>
      <c r="D95" s="581"/>
      <c r="E95" s="581"/>
      <c r="F95" s="581"/>
      <c r="G95" s="581"/>
      <c r="H95" s="581"/>
      <c r="I95" s="581"/>
      <c r="J95" s="581"/>
    </row>
    <row r="96" spans="1:10" ht="18.75" customHeight="1" x14ac:dyDescent="0.3">
      <c r="A96" s="74" t="s">
        <v>145</v>
      </c>
      <c r="B96" s="582" t="s">
        <v>62</v>
      </c>
      <c r="C96" s="582"/>
      <c r="D96" s="582"/>
      <c r="E96" s="582"/>
      <c r="F96" s="582"/>
      <c r="G96" s="582"/>
      <c r="H96" s="582"/>
      <c r="I96" s="582"/>
      <c r="J96" s="101" t="s">
        <v>85</v>
      </c>
    </row>
    <row r="97" spans="1:10" ht="18.75" customHeight="1" x14ac:dyDescent="0.3">
      <c r="A97" s="76" t="s">
        <v>34</v>
      </c>
      <c r="B97" s="573" t="s">
        <v>253</v>
      </c>
      <c r="C97" s="573"/>
      <c r="D97" s="573"/>
      <c r="E97" s="573"/>
      <c r="F97" s="573"/>
      <c r="G97" s="573"/>
      <c r="H97" s="573"/>
      <c r="I97" s="573"/>
      <c r="J97" s="81">
        <v>0</v>
      </c>
    </row>
    <row r="98" spans="1:10" ht="18.75" customHeight="1" x14ac:dyDescent="0.3">
      <c r="A98" s="583" t="s">
        <v>75</v>
      </c>
      <c r="B98" s="583"/>
      <c r="C98" s="583"/>
      <c r="D98" s="583"/>
      <c r="E98" s="583"/>
      <c r="F98" s="583"/>
      <c r="G98" s="583"/>
      <c r="H98" s="583"/>
      <c r="I98" s="583"/>
      <c r="J98" s="81">
        <v>0</v>
      </c>
    </row>
    <row r="99" spans="1:10" ht="18.75" customHeight="1" x14ac:dyDescent="0.3">
      <c r="A99" s="76" t="s">
        <v>36</v>
      </c>
      <c r="B99" s="573" t="s">
        <v>254</v>
      </c>
      <c r="C99" s="573"/>
      <c r="D99" s="573"/>
      <c r="E99" s="573"/>
      <c r="F99" s="573"/>
      <c r="G99" s="573"/>
      <c r="H99" s="573"/>
      <c r="I99" s="573"/>
      <c r="J99" s="81">
        <f>ROUND(I45*J98,2)</f>
        <v>0</v>
      </c>
    </row>
    <row r="100" spans="1:10" ht="18.75" customHeight="1" x14ac:dyDescent="0.3">
      <c r="A100" s="574" t="s">
        <v>75</v>
      </c>
      <c r="B100" s="574"/>
      <c r="C100" s="574"/>
      <c r="D100" s="574"/>
      <c r="E100" s="574"/>
      <c r="F100" s="574"/>
      <c r="G100" s="574"/>
      <c r="H100" s="574"/>
      <c r="I100" s="574"/>
      <c r="J100" s="83">
        <f>SUM(J98:J99)</f>
        <v>0</v>
      </c>
    </row>
    <row r="101" spans="1:10" ht="18.75" customHeight="1" x14ac:dyDescent="0.35">
      <c r="A101" s="567"/>
      <c r="B101" s="567"/>
      <c r="C101" s="567"/>
      <c r="D101" s="567"/>
      <c r="E101" s="567"/>
      <c r="F101" s="567"/>
      <c r="G101" s="567"/>
      <c r="H101" s="567"/>
      <c r="I101" s="567"/>
      <c r="J101" s="567"/>
    </row>
    <row r="102" spans="1:10" ht="34.5" customHeight="1" x14ac:dyDescent="0.3">
      <c r="A102" s="599" t="s">
        <v>281</v>
      </c>
      <c r="B102" s="599"/>
      <c r="C102" s="599"/>
      <c r="D102" s="599"/>
      <c r="E102" s="599"/>
      <c r="F102" s="599"/>
      <c r="G102" s="599"/>
      <c r="H102" s="599"/>
      <c r="I102" s="599"/>
      <c r="J102" s="599"/>
    </row>
    <row r="103" spans="1:10" ht="18.75" customHeight="1" x14ac:dyDescent="0.35">
      <c r="A103" s="567"/>
      <c r="B103" s="567"/>
      <c r="C103" s="567"/>
      <c r="D103" s="567"/>
      <c r="E103" s="567"/>
      <c r="F103" s="567"/>
      <c r="G103" s="567"/>
      <c r="H103" s="567"/>
      <c r="I103" s="567"/>
      <c r="J103" s="567"/>
    </row>
    <row r="104" spans="1:10" ht="19.5" customHeight="1" x14ac:dyDescent="0.3">
      <c r="A104" s="581" t="s">
        <v>255</v>
      </c>
      <c r="B104" s="581"/>
      <c r="C104" s="581"/>
      <c r="D104" s="581"/>
      <c r="E104" s="581"/>
      <c r="F104" s="581"/>
      <c r="G104" s="581"/>
      <c r="H104" s="581"/>
      <c r="I104" s="581"/>
      <c r="J104" s="581"/>
    </row>
    <row r="105" spans="1:10" ht="19.5" customHeight="1" x14ac:dyDescent="0.3">
      <c r="A105" s="70">
        <v>4</v>
      </c>
      <c r="B105" s="579" t="s">
        <v>149</v>
      </c>
      <c r="C105" s="579"/>
      <c r="D105" s="579"/>
      <c r="E105" s="579"/>
      <c r="F105" s="579"/>
      <c r="G105" s="579"/>
      <c r="H105" s="579"/>
      <c r="I105" s="579"/>
      <c r="J105" s="102" t="s">
        <v>85</v>
      </c>
    </row>
    <row r="106" spans="1:10" ht="19.5" customHeight="1" x14ac:dyDescent="0.3">
      <c r="A106" s="67" t="s">
        <v>134</v>
      </c>
      <c r="B106" s="568" t="s">
        <v>244</v>
      </c>
      <c r="C106" s="568"/>
      <c r="D106" s="568"/>
      <c r="E106" s="568"/>
      <c r="F106" s="568"/>
      <c r="G106" s="568"/>
      <c r="H106" s="568"/>
      <c r="I106" s="568"/>
      <c r="J106" s="81">
        <f>J92</f>
        <v>198.8</v>
      </c>
    </row>
    <row r="107" spans="1:10" ht="19.5" customHeight="1" x14ac:dyDescent="0.3">
      <c r="A107" s="67" t="s">
        <v>145</v>
      </c>
      <c r="B107" s="568" t="s">
        <v>62</v>
      </c>
      <c r="C107" s="568"/>
      <c r="D107" s="568"/>
      <c r="E107" s="568"/>
      <c r="F107" s="568"/>
      <c r="G107" s="568"/>
      <c r="H107" s="568"/>
      <c r="I107" s="568"/>
      <c r="J107" s="81">
        <f>J100</f>
        <v>0</v>
      </c>
    </row>
    <row r="108" spans="1:10" ht="19.5" customHeight="1" x14ac:dyDescent="0.3">
      <c r="A108" s="580" t="s">
        <v>75</v>
      </c>
      <c r="B108" s="580"/>
      <c r="C108" s="580"/>
      <c r="D108" s="580"/>
      <c r="E108" s="580"/>
      <c r="F108" s="580"/>
      <c r="G108" s="580"/>
      <c r="H108" s="580"/>
      <c r="I108" s="580"/>
      <c r="J108" s="83">
        <f>SUM(J106+J107)</f>
        <v>198.8</v>
      </c>
    </row>
    <row r="109" spans="1:10" ht="18.75" customHeight="1" x14ac:dyDescent="0.35">
      <c r="A109" s="567"/>
      <c r="B109" s="567"/>
      <c r="C109" s="567"/>
      <c r="D109" s="567"/>
      <c r="E109" s="567"/>
      <c r="F109" s="567"/>
      <c r="G109" s="567"/>
      <c r="H109" s="567"/>
      <c r="I109" s="567"/>
      <c r="J109" s="567"/>
    </row>
    <row r="110" spans="1:10" ht="19.5" customHeight="1" x14ac:dyDescent="0.3">
      <c r="A110" s="577" t="s">
        <v>256</v>
      </c>
      <c r="B110" s="577"/>
      <c r="C110" s="577"/>
      <c r="D110" s="577"/>
      <c r="E110" s="577"/>
      <c r="F110" s="577"/>
      <c r="G110" s="577"/>
      <c r="H110" s="577"/>
      <c r="I110" s="577"/>
      <c r="J110" s="577"/>
    </row>
    <row r="111" spans="1:10" ht="18.75" customHeight="1" x14ac:dyDescent="0.3">
      <c r="A111" s="96">
        <v>5</v>
      </c>
      <c r="B111" s="578" t="s">
        <v>151</v>
      </c>
      <c r="C111" s="578"/>
      <c r="D111" s="578"/>
      <c r="E111" s="578"/>
      <c r="F111" s="578"/>
      <c r="G111" s="578"/>
      <c r="H111" s="578"/>
      <c r="I111" s="578"/>
      <c r="J111" s="96" t="s">
        <v>85</v>
      </c>
    </row>
    <row r="112" spans="1:10" ht="18.75" customHeight="1" x14ac:dyDescent="0.3">
      <c r="A112" s="76" t="s">
        <v>34</v>
      </c>
      <c r="B112" s="573" t="s">
        <v>152</v>
      </c>
      <c r="C112" s="573"/>
      <c r="D112" s="573"/>
      <c r="E112" s="573"/>
      <c r="F112" s="573"/>
      <c r="G112" s="573"/>
      <c r="H112" s="573"/>
      <c r="I112" s="573"/>
      <c r="J112" s="81">
        <f>(J108+J77+J67+J24)*(0.0145)</f>
        <v>38.944354363623177</v>
      </c>
    </row>
    <row r="113" spans="1:10" ht="19.5" customHeight="1" x14ac:dyDescent="0.3">
      <c r="A113" s="76" t="s">
        <v>36</v>
      </c>
      <c r="B113" s="573" t="s">
        <v>153</v>
      </c>
      <c r="C113" s="573"/>
      <c r="D113" s="573"/>
      <c r="E113" s="573"/>
      <c r="F113" s="573"/>
      <c r="G113" s="573"/>
      <c r="H113" s="573"/>
      <c r="I113" s="573"/>
      <c r="J113" s="93" t="s">
        <v>71</v>
      </c>
    </row>
    <row r="114" spans="1:10" ht="19.5" customHeight="1" x14ac:dyDescent="0.3">
      <c r="A114" s="76" t="s">
        <v>38</v>
      </c>
      <c r="B114" s="573" t="s">
        <v>257</v>
      </c>
      <c r="C114" s="573"/>
      <c r="D114" s="573"/>
      <c r="E114" s="573"/>
      <c r="F114" s="573"/>
      <c r="G114" s="573"/>
      <c r="H114" s="573"/>
      <c r="I114" s="573"/>
      <c r="J114" s="93" t="s">
        <v>71</v>
      </c>
    </row>
    <row r="115" spans="1:10" ht="19.5" customHeight="1" x14ac:dyDescent="0.3">
      <c r="A115" s="76" t="s">
        <v>40</v>
      </c>
      <c r="B115" s="573" t="s">
        <v>155</v>
      </c>
      <c r="C115" s="573"/>
      <c r="D115" s="573"/>
      <c r="E115" s="573"/>
      <c r="F115" s="573"/>
      <c r="G115" s="573"/>
      <c r="H115" s="573"/>
      <c r="I115" s="573"/>
      <c r="J115" s="93" t="s">
        <v>71</v>
      </c>
    </row>
    <row r="116" spans="1:10" ht="19.5" customHeight="1" x14ac:dyDescent="0.3">
      <c r="A116" s="574" t="s">
        <v>75</v>
      </c>
      <c r="B116" s="574"/>
      <c r="C116" s="574"/>
      <c r="D116" s="574"/>
      <c r="E116" s="574"/>
      <c r="F116" s="574"/>
      <c r="G116" s="574"/>
      <c r="H116" s="574"/>
      <c r="I116" s="574"/>
      <c r="J116" s="99">
        <f>SUM(J112:J115)</f>
        <v>38.944354363623177</v>
      </c>
    </row>
    <row r="117" spans="1:10" ht="18.75" customHeight="1" x14ac:dyDescent="0.35">
      <c r="A117" s="567"/>
      <c r="B117" s="567"/>
      <c r="C117" s="567"/>
      <c r="D117" s="567"/>
      <c r="E117" s="567"/>
      <c r="F117" s="567"/>
      <c r="G117" s="567"/>
      <c r="H117" s="567"/>
      <c r="I117" s="567"/>
      <c r="J117" s="567"/>
    </row>
    <row r="118" spans="1:10" ht="19.5" customHeight="1" x14ac:dyDescent="0.3">
      <c r="A118" s="599" t="s">
        <v>282</v>
      </c>
      <c r="B118" s="599"/>
      <c r="C118" s="599"/>
      <c r="D118" s="599"/>
      <c r="E118" s="599"/>
      <c r="F118" s="599"/>
      <c r="G118" s="599"/>
      <c r="H118" s="599"/>
      <c r="I118" s="599"/>
      <c r="J118" s="599"/>
    </row>
    <row r="119" spans="1:10" ht="18.75" customHeight="1" x14ac:dyDescent="0.35">
      <c r="A119" s="567"/>
      <c r="B119" s="567"/>
      <c r="C119" s="567"/>
      <c r="D119" s="567"/>
      <c r="E119" s="567"/>
      <c r="F119" s="567"/>
      <c r="G119" s="567"/>
      <c r="H119" s="567"/>
      <c r="I119" s="567"/>
      <c r="J119" s="567"/>
    </row>
    <row r="120" spans="1:10" ht="19.5" customHeight="1" x14ac:dyDescent="0.3">
      <c r="A120" s="577" t="s">
        <v>258</v>
      </c>
      <c r="B120" s="577"/>
      <c r="C120" s="577"/>
      <c r="D120" s="577"/>
      <c r="E120" s="577"/>
      <c r="F120" s="577"/>
      <c r="G120" s="577"/>
      <c r="H120" s="577"/>
      <c r="I120" s="577"/>
      <c r="J120" s="577"/>
    </row>
    <row r="121" spans="1:10" ht="19.5" customHeight="1" x14ac:dyDescent="0.3">
      <c r="A121" s="96">
        <v>6</v>
      </c>
      <c r="B121" s="578" t="s">
        <v>157</v>
      </c>
      <c r="C121" s="578"/>
      <c r="D121" s="578"/>
      <c r="E121" s="578"/>
      <c r="F121" s="578"/>
      <c r="G121" s="578"/>
      <c r="H121" s="578"/>
      <c r="I121" s="70" t="s">
        <v>221</v>
      </c>
      <c r="J121" s="105" t="s">
        <v>85</v>
      </c>
    </row>
    <row r="122" spans="1:10" ht="51.75" customHeight="1" x14ac:dyDescent="0.3">
      <c r="A122" s="568" t="s">
        <v>259</v>
      </c>
      <c r="B122" s="568"/>
      <c r="C122" s="568"/>
      <c r="D122" s="568"/>
      <c r="E122" s="568"/>
      <c r="F122" s="568"/>
      <c r="G122" s="568"/>
      <c r="H122" s="568"/>
      <c r="I122" s="106" t="s">
        <v>164</v>
      </c>
      <c r="J122" s="81">
        <f>SUM(J24+J67+J77+J108+J116)</f>
        <v>2724.761896682463</v>
      </c>
    </row>
    <row r="123" spans="1:10" ht="18.75" customHeight="1" x14ac:dyDescent="0.3">
      <c r="A123" s="76" t="s">
        <v>34</v>
      </c>
      <c r="B123" s="573" t="s">
        <v>159</v>
      </c>
      <c r="C123" s="573"/>
      <c r="D123" s="573"/>
      <c r="E123" s="573"/>
      <c r="F123" s="573"/>
      <c r="G123" s="573"/>
      <c r="H123" s="573"/>
      <c r="I123" s="84">
        <f>Recepcionista!I119</f>
        <v>7.1000000000000004E-3</v>
      </c>
      <c r="J123" s="81">
        <f>ROUND(I123*J122,2)</f>
        <v>19.350000000000001</v>
      </c>
    </row>
    <row r="124" spans="1:10" ht="54" customHeight="1" x14ac:dyDescent="0.3">
      <c r="A124" s="568" t="s">
        <v>260</v>
      </c>
      <c r="B124" s="568"/>
      <c r="C124" s="568"/>
      <c r="D124" s="568"/>
      <c r="E124" s="568"/>
      <c r="F124" s="568"/>
      <c r="G124" s="568"/>
      <c r="H124" s="568"/>
      <c r="I124" s="107" t="s">
        <v>164</v>
      </c>
      <c r="J124" s="81">
        <f>SUM(J24+J67+J77+J108+J116+J123)</f>
        <v>2744.1118966824629</v>
      </c>
    </row>
    <row r="125" spans="1:10" ht="18.75" customHeight="1" x14ac:dyDescent="0.3">
      <c r="A125" s="76" t="s">
        <v>36</v>
      </c>
      <c r="B125" s="573" t="s">
        <v>161</v>
      </c>
      <c r="C125" s="573"/>
      <c r="D125" s="573"/>
      <c r="E125" s="573"/>
      <c r="F125" s="573"/>
      <c r="G125" s="573"/>
      <c r="H125" s="573"/>
      <c r="I125" s="84">
        <f>I123</f>
        <v>7.1000000000000004E-3</v>
      </c>
      <c r="J125" s="81">
        <f>ROUND(I125*J124,2)</f>
        <v>19.48</v>
      </c>
    </row>
    <row r="126" spans="1:10" ht="54" customHeight="1" x14ac:dyDescent="0.3">
      <c r="A126" s="568" t="s">
        <v>261</v>
      </c>
      <c r="B126" s="568"/>
      <c r="C126" s="568"/>
      <c r="D126" s="568"/>
      <c r="E126" s="568"/>
      <c r="F126" s="568"/>
      <c r="G126" s="568"/>
      <c r="H126" s="568"/>
      <c r="I126" s="107" t="s">
        <v>164</v>
      </c>
      <c r="J126" s="81">
        <f>SUM(J24+J67+J77+J108+J116+J123+J125)</f>
        <v>2763.5918966824629</v>
      </c>
    </row>
    <row r="127" spans="1:10" ht="18.75" customHeight="1" x14ac:dyDescent="0.3">
      <c r="A127" s="76" t="s">
        <v>38</v>
      </c>
      <c r="B127" s="573" t="s">
        <v>163</v>
      </c>
      <c r="C127" s="573"/>
      <c r="D127" s="573"/>
      <c r="E127" s="573"/>
      <c r="F127" s="573"/>
      <c r="G127" s="573"/>
      <c r="H127" s="573"/>
      <c r="I127" s="77" t="s">
        <v>164</v>
      </c>
      <c r="J127" s="90" t="s">
        <v>164</v>
      </c>
    </row>
    <row r="128" spans="1:10" ht="18.75" customHeight="1" x14ac:dyDescent="0.3">
      <c r="A128" s="76"/>
      <c r="B128" s="573" t="s">
        <v>165</v>
      </c>
      <c r="C128" s="573"/>
      <c r="D128" s="573"/>
      <c r="E128" s="573"/>
      <c r="F128" s="573"/>
      <c r="G128" s="573"/>
      <c r="H128" s="573"/>
      <c r="I128" s="77" t="s">
        <v>164</v>
      </c>
      <c r="J128" s="90" t="s">
        <v>164</v>
      </c>
    </row>
    <row r="129" spans="1:10" ht="19.5" customHeight="1" x14ac:dyDescent="0.3">
      <c r="A129" s="76"/>
      <c r="B129" s="573" t="s">
        <v>262</v>
      </c>
      <c r="C129" s="573"/>
      <c r="D129" s="573"/>
      <c r="E129" s="573"/>
      <c r="F129" s="573"/>
      <c r="G129" s="573"/>
      <c r="H129" s="573"/>
      <c r="I129" s="108">
        <f>Recepcionista!I125</f>
        <v>0.03</v>
      </c>
      <c r="J129" s="81">
        <f>ROUND(($J$126/(1-$I$138))*I129,2)</f>
        <v>90.76</v>
      </c>
    </row>
    <row r="130" spans="1:10" ht="19.5" customHeight="1" x14ac:dyDescent="0.3">
      <c r="A130" s="76"/>
      <c r="B130" s="573" t="s">
        <v>263</v>
      </c>
      <c r="C130" s="573"/>
      <c r="D130" s="573"/>
      <c r="E130" s="573"/>
      <c r="F130" s="573"/>
      <c r="G130" s="573"/>
      <c r="H130" s="573"/>
      <c r="I130" s="108">
        <f>Recepcionista!I126</f>
        <v>6.4999999999999997E-3</v>
      </c>
      <c r="J130" s="81">
        <f>ROUND(($J$126/(1-$I$138))*I130,2)</f>
        <v>19.66</v>
      </c>
    </row>
    <row r="131" spans="1:10" ht="19.5" customHeight="1" x14ac:dyDescent="0.3">
      <c r="A131" s="76"/>
      <c r="B131" s="568" t="s">
        <v>264</v>
      </c>
      <c r="C131" s="568"/>
      <c r="D131" s="568"/>
      <c r="E131" s="568"/>
      <c r="F131" s="568"/>
      <c r="G131" s="568"/>
      <c r="H131" s="568"/>
      <c r="I131" s="98" t="s">
        <v>164</v>
      </c>
      <c r="J131" s="90" t="s">
        <v>164</v>
      </c>
    </row>
    <row r="132" spans="1:10" ht="19.5" customHeight="1" x14ac:dyDescent="0.3">
      <c r="A132" s="76"/>
      <c r="B132" s="568" t="s">
        <v>265</v>
      </c>
      <c r="C132" s="568"/>
      <c r="D132" s="568"/>
      <c r="E132" s="568"/>
      <c r="F132" s="568"/>
      <c r="G132" s="568"/>
      <c r="H132" s="568"/>
      <c r="I132" s="98" t="s">
        <v>164</v>
      </c>
      <c r="J132" s="90" t="s">
        <v>164</v>
      </c>
    </row>
    <row r="133" spans="1:10" ht="19.5" customHeight="1" x14ac:dyDescent="0.3">
      <c r="A133" s="76"/>
      <c r="B133" s="573" t="s">
        <v>168</v>
      </c>
      <c r="C133" s="573"/>
      <c r="D133" s="573"/>
      <c r="E133" s="573"/>
      <c r="F133" s="573"/>
      <c r="G133" s="573"/>
      <c r="H133" s="573"/>
      <c r="I133" s="98" t="s">
        <v>164</v>
      </c>
      <c r="J133" s="90" t="s">
        <v>164</v>
      </c>
    </row>
    <row r="134" spans="1:10" ht="19.5" customHeight="1" x14ac:dyDescent="0.3">
      <c r="A134" s="76"/>
      <c r="B134" s="573" t="s">
        <v>266</v>
      </c>
      <c r="C134" s="573"/>
      <c r="D134" s="573"/>
      <c r="E134" s="573"/>
      <c r="F134" s="573"/>
      <c r="G134" s="573"/>
      <c r="H134" s="573"/>
      <c r="I134" s="98" t="s">
        <v>164</v>
      </c>
      <c r="J134" s="90" t="s">
        <v>164</v>
      </c>
    </row>
    <row r="135" spans="1:10" ht="19.5" customHeight="1" x14ac:dyDescent="0.3">
      <c r="A135" s="76"/>
      <c r="B135" s="573" t="s">
        <v>267</v>
      </c>
      <c r="C135" s="573"/>
      <c r="D135" s="573"/>
      <c r="E135" s="573"/>
      <c r="F135" s="573"/>
      <c r="G135" s="573"/>
      <c r="H135" s="573"/>
      <c r="I135" s="108">
        <v>0.05</v>
      </c>
      <c r="J135" s="81">
        <f>ROUND(($J$126/(1-$I$138))*I135,2)</f>
        <v>151.26</v>
      </c>
    </row>
    <row r="136" spans="1:10" ht="18.75" customHeight="1" x14ac:dyDescent="0.3">
      <c r="A136" s="574" t="s">
        <v>75</v>
      </c>
      <c r="B136" s="574"/>
      <c r="C136" s="574"/>
      <c r="D136" s="574"/>
      <c r="E136" s="574"/>
      <c r="F136" s="574"/>
      <c r="G136" s="574"/>
      <c r="H136" s="574"/>
      <c r="I136" s="574"/>
      <c r="J136" s="83">
        <f>SUM(J123+J125+J129+J130+J135)</f>
        <v>300.51</v>
      </c>
    </row>
    <row r="137" spans="1:10" ht="18.75" customHeight="1" x14ac:dyDescent="0.35">
      <c r="A137" s="567"/>
      <c r="B137" s="567"/>
      <c r="C137" s="567"/>
      <c r="D137" s="567"/>
      <c r="E137" s="567"/>
      <c r="F137" s="567"/>
      <c r="G137" s="567"/>
      <c r="H137" s="567"/>
      <c r="I137" s="567"/>
      <c r="J137" s="567"/>
    </row>
    <row r="138" spans="1:10" ht="19.5" customHeight="1" x14ac:dyDescent="0.3">
      <c r="A138" s="575" t="s">
        <v>170</v>
      </c>
      <c r="B138" s="575"/>
      <c r="C138" s="575"/>
      <c r="D138" s="575"/>
      <c r="E138" s="575"/>
      <c r="F138" s="575"/>
      <c r="G138" s="575"/>
      <c r="H138" s="575"/>
      <c r="I138" s="84">
        <f>SUM(I129:I135)</f>
        <v>8.6499999999999994E-2</v>
      </c>
      <c r="J138" s="81">
        <f>SUM(J129:J135)</f>
        <v>261.68</v>
      </c>
    </row>
    <row r="139" spans="1:10" ht="18.75" customHeight="1" x14ac:dyDescent="0.3">
      <c r="A139" s="576" t="s">
        <v>171</v>
      </c>
      <c r="B139" s="576"/>
      <c r="C139" s="576"/>
      <c r="D139" s="573" t="s">
        <v>172</v>
      </c>
      <c r="E139" s="573"/>
      <c r="F139" s="573"/>
      <c r="G139" s="573"/>
      <c r="H139" s="573"/>
      <c r="I139" s="573"/>
      <c r="J139" s="573"/>
    </row>
    <row r="140" spans="1:10" ht="18.75" customHeight="1" x14ac:dyDescent="0.3">
      <c r="A140" s="576"/>
      <c r="B140" s="576"/>
      <c r="C140" s="576"/>
      <c r="D140" s="573" t="s">
        <v>173</v>
      </c>
      <c r="E140" s="573"/>
      <c r="F140" s="573"/>
      <c r="G140" s="573"/>
      <c r="H140" s="573"/>
      <c r="I140" s="573"/>
      <c r="J140" s="573"/>
    </row>
    <row r="141" spans="1:10" ht="18.75" customHeight="1" x14ac:dyDescent="0.3">
      <c r="A141" s="576"/>
      <c r="B141" s="576"/>
      <c r="C141" s="576"/>
      <c r="D141" s="573" t="s">
        <v>174</v>
      </c>
      <c r="E141" s="573"/>
      <c r="F141" s="573"/>
      <c r="G141" s="573"/>
      <c r="H141" s="573"/>
      <c r="I141" s="573"/>
      <c r="J141" s="573"/>
    </row>
    <row r="142" spans="1:10" ht="18.75" customHeight="1" x14ac:dyDescent="0.35">
      <c r="A142" s="567"/>
      <c r="B142" s="567"/>
      <c r="C142" s="567"/>
      <c r="D142" s="567"/>
      <c r="E142" s="567"/>
      <c r="F142" s="567"/>
      <c r="G142" s="567"/>
      <c r="H142" s="567"/>
      <c r="I142" s="567"/>
      <c r="J142" s="567"/>
    </row>
    <row r="143" spans="1:10" ht="34.5" customHeight="1" x14ac:dyDescent="0.3">
      <c r="A143" s="599" t="s">
        <v>283</v>
      </c>
      <c r="B143" s="599"/>
      <c r="C143" s="599"/>
      <c r="D143" s="599"/>
      <c r="E143" s="599"/>
      <c r="F143" s="599"/>
      <c r="G143" s="599"/>
      <c r="H143" s="599"/>
      <c r="I143" s="599"/>
      <c r="J143" s="599"/>
    </row>
    <row r="144" spans="1:10" ht="18.75" customHeight="1" x14ac:dyDescent="0.35">
      <c r="A144" s="567"/>
      <c r="B144" s="567"/>
      <c r="C144" s="567"/>
      <c r="D144" s="567"/>
      <c r="E144" s="567"/>
      <c r="F144" s="567"/>
      <c r="G144" s="567"/>
      <c r="H144" s="567"/>
      <c r="I144" s="567"/>
      <c r="J144" s="567"/>
    </row>
    <row r="145" spans="1:10" ht="48" customHeight="1" x14ac:dyDescent="0.3">
      <c r="A145" s="570" t="s">
        <v>268</v>
      </c>
      <c r="B145" s="570"/>
      <c r="C145" s="570"/>
      <c r="D145" s="570"/>
      <c r="E145" s="570"/>
      <c r="F145" s="570"/>
      <c r="G145" s="570"/>
      <c r="H145" s="570"/>
      <c r="I145" s="570"/>
      <c r="J145" s="570"/>
    </row>
    <row r="146" spans="1:10" ht="19.5" customHeight="1" x14ac:dyDescent="0.3">
      <c r="A146" s="598" t="s">
        <v>269</v>
      </c>
      <c r="B146" s="598"/>
      <c r="C146" s="598"/>
      <c r="D146" s="598"/>
      <c r="E146" s="598"/>
      <c r="F146" s="598"/>
      <c r="G146" s="598"/>
      <c r="H146" s="598"/>
      <c r="I146" s="598"/>
      <c r="J146" s="100" t="s">
        <v>85</v>
      </c>
    </row>
    <row r="147" spans="1:10" ht="19.5" customHeight="1" x14ac:dyDescent="0.3">
      <c r="A147" s="109" t="s">
        <v>34</v>
      </c>
      <c r="B147" s="565" t="s">
        <v>177</v>
      </c>
      <c r="C147" s="565"/>
      <c r="D147" s="565"/>
      <c r="E147" s="565"/>
      <c r="F147" s="565"/>
      <c r="G147" s="565"/>
      <c r="H147" s="565"/>
      <c r="I147" s="565"/>
      <c r="J147" s="93">
        <f>J24</f>
        <v>1232.8699999999999</v>
      </c>
    </row>
    <row r="148" spans="1:10" ht="19.5" customHeight="1" x14ac:dyDescent="0.3">
      <c r="A148" s="109" t="s">
        <v>36</v>
      </c>
      <c r="B148" s="565" t="s">
        <v>80</v>
      </c>
      <c r="C148" s="565"/>
      <c r="D148" s="565"/>
      <c r="E148" s="565"/>
      <c r="F148" s="565"/>
      <c r="G148" s="565"/>
      <c r="H148" s="565"/>
      <c r="I148" s="565"/>
      <c r="J148" s="93">
        <f>J67</f>
        <v>1200.9299999999998</v>
      </c>
    </row>
    <row r="149" spans="1:10" ht="19.5" customHeight="1" x14ac:dyDescent="0.3">
      <c r="A149" s="109" t="s">
        <v>38</v>
      </c>
      <c r="B149" s="565" t="s">
        <v>178</v>
      </c>
      <c r="C149" s="565"/>
      <c r="D149" s="565"/>
      <c r="E149" s="565"/>
      <c r="F149" s="565"/>
      <c r="G149" s="565"/>
      <c r="H149" s="565"/>
      <c r="I149" s="565"/>
      <c r="J149" s="93">
        <f>J77</f>
        <v>53.217542318840003</v>
      </c>
    </row>
    <row r="150" spans="1:10" ht="19.5" customHeight="1" x14ac:dyDescent="0.3">
      <c r="A150" s="109" t="s">
        <v>40</v>
      </c>
      <c r="B150" s="565" t="s">
        <v>179</v>
      </c>
      <c r="C150" s="565"/>
      <c r="D150" s="565"/>
      <c r="E150" s="565"/>
      <c r="F150" s="565"/>
      <c r="G150" s="565"/>
      <c r="H150" s="565"/>
      <c r="I150" s="565"/>
      <c r="J150" s="93">
        <f>J108</f>
        <v>198.8</v>
      </c>
    </row>
    <row r="151" spans="1:10" ht="19.5" customHeight="1" x14ac:dyDescent="0.3">
      <c r="A151" s="109" t="s">
        <v>73</v>
      </c>
      <c r="B151" s="565" t="s">
        <v>180</v>
      </c>
      <c r="C151" s="565"/>
      <c r="D151" s="565"/>
      <c r="E151" s="565"/>
      <c r="F151" s="565"/>
      <c r="G151" s="565"/>
      <c r="H151" s="565"/>
      <c r="I151" s="565"/>
      <c r="J151" s="93">
        <f>J116</f>
        <v>38.944354363623177</v>
      </c>
    </row>
    <row r="152" spans="1:10" ht="19.5" customHeight="1" x14ac:dyDescent="0.3">
      <c r="A152" s="572" t="s">
        <v>181</v>
      </c>
      <c r="B152" s="572"/>
      <c r="C152" s="572"/>
      <c r="D152" s="572"/>
      <c r="E152" s="572"/>
      <c r="F152" s="572"/>
      <c r="G152" s="572"/>
      <c r="H152" s="572"/>
      <c r="I152" s="572"/>
      <c r="J152" s="99">
        <f>SUM(J147:J151)</f>
        <v>2724.761896682463</v>
      </c>
    </row>
    <row r="153" spans="1:10" ht="19.5" customHeight="1" x14ac:dyDescent="0.3">
      <c r="A153" s="109" t="s">
        <v>76</v>
      </c>
      <c r="B153" s="565" t="s">
        <v>182</v>
      </c>
      <c r="C153" s="565"/>
      <c r="D153" s="565"/>
      <c r="E153" s="565"/>
      <c r="F153" s="565"/>
      <c r="G153" s="565"/>
      <c r="H153" s="565"/>
      <c r="I153" s="565"/>
      <c r="J153" s="93">
        <f>J136</f>
        <v>300.51</v>
      </c>
    </row>
    <row r="154" spans="1:10" ht="19.5" customHeight="1" x14ac:dyDescent="0.3">
      <c r="A154" s="566" t="s">
        <v>270</v>
      </c>
      <c r="B154" s="566"/>
      <c r="C154" s="566"/>
      <c r="D154" s="566"/>
      <c r="E154" s="566"/>
      <c r="F154" s="566"/>
      <c r="G154" s="566"/>
      <c r="H154" s="566"/>
      <c r="I154" s="566"/>
      <c r="J154" s="110">
        <f>SUM(J152:J153)</f>
        <v>3025.2718966824632</v>
      </c>
    </row>
    <row r="155" spans="1:10" ht="18.75" customHeight="1" x14ac:dyDescent="0.35">
      <c r="A155" s="567"/>
      <c r="B155" s="567"/>
      <c r="C155" s="567"/>
      <c r="D155" s="567"/>
      <c r="E155" s="567"/>
      <c r="F155" s="567"/>
      <c r="G155" s="567"/>
      <c r="H155" s="567"/>
      <c r="I155" s="567"/>
      <c r="J155" s="567"/>
    </row>
    <row r="156" spans="1:10" ht="19.5" customHeight="1" x14ac:dyDescent="0.3">
      <c r="A156" s="568" t="s">
        <v>188</v>
      </c>
      <c r="B156" s="568"/>
      <c r="C156" s="568"/>
      <c r="D156" s="568"/>
      <c r="E156" s="568"/>
      <c r="F156" s="568"/>
      <c r="G156" s="569">
        <f>J154</f>
        <v>3025.2718966824632</v>
      </c>
      <c r="H156" s="569"/>
      <c r="I156" s="569"/>
      <c r="J156" s="569"/>
    </row>
    <row r="158" spans="1:10" ht="19.5" customHeight="1" x14ac:dyDescent="0.3"/>
    <row r="160" spans="1:10" ht="31.5" customHeight="1" x14ac:dyDescent="0.3"/>
  </sheetData>
  <mergeCells count="166">
    <mergeCell ref="A1:J1"/>
    <mergeCell ref="A2:J2"/>
    <mergeCell ref="A3:J3"/>
    <mergeCell ref="A4:J4"/>
    <mergeCell ref="A5:J5"/>
    <mergeCell ref="A6:J6"/>
    <mergeCell ref="B7:G7"/>
    <mergeCell ref="H7:J7"/>
    <mergeCell ref="B8:G8"/>
    <mergeCell ref="H8:J8"/>
    <mergeCell ref="B9:G9"/>
    <mergeCell ref="H9:J9"/>
    <mergeCell ref="B10:G10"/>
    <mergeCell ref="H10:J10"/>
    <mergeCell ref="A11:J11"/>
    <mergeCell ref="A12:J12"/>
    <mergeCell ref="A13:J13"/>
    <mergeCell ref="A14:J14"/>
    <mergeCell ref="B15:G15"/>
    <mergeCell ref="H15:J15"/>
    <mergeCell ref="B16:G16"/>
    <mergeCell ref="H16:J16"/>
    <mergeCell ref="B17:G17"/>
    <mergeCell ref="H17:J17"/>
    <mergeCell ref="B18:G18"/>
    <mergeCell ref="H18:J18"/>
    <mergeCell ref="A19:J19"/>
    <mergeCell ref="A20:J20"/>
    <mergeCell ref="B21:I21"/>
    <mergeCell ref="B22:I22"/>
    <mergeCell ref="B23:I23"/>
    <mergeCell ref="A24:I24"/>
    <mergeCell ref="A25:J25"/>
    <mergeCell ref="A26:J26"/>
    <mergeCell ref="A27:J27"/>
    <mergeCell ref="B28:I28"/>
    <mergeCell ref="B29:H29"/>
    <mergeCell ref="B30:H30"/>
    <mergeCell ref="A31:I31"/>
    <mergeCell ref="B32:I32"/>
    <mergeCell ref="A33:I33"/>
    <mergeCell ref="A34:J34"/>
    <mergeCell ref="A35:J35"/>
    <mergeCell ref="B36:H36"/>
    <mergeCell ref="B37:H37"/>
    <mergeCell ref="B38:H38"/>
    <mergeCell ref="B39:D39"/>
    <mergeCell ref="B40:H40"/>
    <mergeCell ref="B41:H41"/>
    <mergeCell ref="B42:H42"/>
    <mergeCell ref="B43:H43"/>
    <mergeCell ref="B44:H44"/>
    <mergeCell ref="A45:H45"/>
    <mergeCell ref="A46:J46"/>
    <mergeCell ref="A47:J47"/>
    <mergeCell ref="B48:I48"/>
    <mergeCell ref="B49:I49"/>
    <mergeCell ref="B50:H50"/>
    <mergeCell ref="B51:H51"/>
    <mergeCell ref="B52:H52"/>
    <mergeCell ref="B53:I53"/>
    <mergeCell ref="B54:H54"/>
    <mergeCell ref="B55:H55"/>
    <mergeCell ref="B56:I56"/>
    <mergeCell ref="B57:I57"/>
    <mergeCell ref="B58:I58"/>
    <mergeCell ref="B59:I59"/>
    <mergeCell ref="A60:I60"/>
    <mergeCell ref="A61:J61"/>
    <mergeCell ref="A62:J62"/>
    <mergeCell ref="B63:I63"/>
    <mergeCell ref="C64:I64"/>
    <mergeCell ref="C65:I65"/>
    <mergeCell ref="C66:I66"/>
    <mergeCell ref="A67:I67"/>
    <mergeCell ref="A68:J68"/>
    <mergeCell ref="A69:J69"/>
    <mergeCell ref="B70:I70"/>
    <mergeCell ref="B71:I71"/>
    <mergeCell ref="B72:I72"/>
    <mergeCell ref="B73:H73"/>
    <mergeCell ref="B74:I74"/>
    <mergeCell ref="B75:I75"/>
    <mergeCell ref="B76:H76"/>
    <mergeCell ref="A77:I77"/>
    <mergeCell ref="A78:J78"/>
    <mergeCell ref="A79:J79"/>
    <mergeCell ref="A80:I80"/>
    <mergeCell ref="A81:J81"/>
    <mergeCell ref="A82:J82"/>
    <mergeCell ref="B83:I83"/>
    <mergeCell ref="B84:H84"/>
    <mergeCell ref="B85:I85"/>
    <mergeCell ref="B86:I86"/>
    <mergeCell ref="B87:I87"/>
    <mergeCell ref="B88:I88"/>
    <mergeCell ref="B89:I89"/>
    <mergeCell ref="A90:I90"/>
    <mergeCell ref="B91:I91"/>
    <mergeCell ref="A92:I92"/>
    <mergeCell ref="A93:J93"/>
    <mergeCell ref="A94:J94"/>
    <mergeCell ref="A95:J95"/>
    <mergeCell ref="B96:I96"/>
    <mergeCell ref="B97:I97"/>
    <mergeCell ref="A98:I98"/>
    <mergeCell ref="B99:I99"/>
    <mergeCell ref="A100:I100"/>
    <mergeCell ref="A101:J101"/>
    <mergeCell ref="A102:J102"/>
    <mergeCell ref="A103:J103"/>
    <mergeCell ref="A104:J104"/>
    <mergeCell ref="B105:I105"/>
    <mergeCell ref="B106:I106"/>
    <mergeCell ref="B107:I107"/>
    <mergeCell ref="A108:I108"/>
    <mergeCell ref="A109:J109"/>
    <mergeCell ref="A110:J110"/>
    <mergeCell ref="B111:I111"/>
    <mergeCell ref="B112:I112"/>
    <mergeCell ref="B113:I113"/>
    <mergeCell ref="B114:I114"/>
    <mergeCell ref="B115:I115"/>
    <mergeCell ref="A116:I116"/>
    <mergeCell ref="A117:J117"/>
    <mergeCell ref="A118:J118"/>
    <mergeCell ref="A119:J119"/>
    <mergeCell ref="A120:J120"/>
    <mergeCell ref="B121:H121"/>
    <mergeCell ref="A122:H122"/>
    <mergeCell ref="B123:H123"/>
    <mergeCell ref="A124:H124"/>
    <mergeCell ref="B125:H125"/>
    <mergeCell ref="A126:H126"/>
    <mergeCell ref="B127:H127"/>
    <mergeCell ref="B128:H128"/>
    <mergeCell ref="B129:H129"/>
    <mergeCell ref="B130:H130"/>
    <mergeCell ref="B131:H131"/>
    <mergeCell ref="B132:H132"/>
    <mergeCell ref="B133:H133"/>
    <mergeCell ref="B134:H134"/>
    <mergeCell ref="B135:H135"/>
    <mergeCell ref="A136:I136"/>
    <mergeCell ref="A137:J137"/>
    <mergeCell ref="A138:H138"/>
    <mergeCell ref="A139:C141"/>
    <mergeCell ref="D139:J139"/>
    <mergeCell ref="D140:J140"/>
    <mergeCell ref="D141:J141"/>
    <mergeCell ref="A142:J142"/>
    <mergeCell ref="A143:J143"/>
    <mergeCell ref="A144:J144"/>
    <mergeCell ref="A145:J145"/>
    <mergeCell ref="A146:I146"/>
    <mergeCell ref="A156:F156"/>
    <mergeCell ref="G156:J156"/>
    <mergeCell ref="B147:I147"/>
    <mergeCell ref="B148:I148"/>
    <mergeCell ref="B149:I149"/>
    <mergeCell ref="B150:I150"/>
    <mergeCell ref="B151:I151"/>
    <mergeCell ref="A152:I152"/>
    <mergeCell ref="B153:I153"/>
    <mergeCell ref="A154:I154"/>
    <mergeCell ref="A155:J155"/>
  </mergeCells>
  <printOptions horizontalCentered="1"/>
  <pageMargins left="0.118055555555556" right="0.118055555555556" top="0.36319444444444499" bottom="0" header="0.196527777777778" footer="0.511811023622047"/>
  <pageSetup paperSize="9" pageOrder="overThenDown" orientation="portrait" horizontalDpi="300" verticalDpi="300"/>
  <headerFooter>
    <oddHeader>&amp;C&amp;12&amp;A</oddHeader>
  </headerFooter>
  <rowBreaks count="2" manualBreakCount="2">
    <brk id="61" max="16383" man="1"/>
    <brk id="118" max="16383" man="1"/>
  </rowBreaks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160"/>
  <sheetViews>
    <sheetView zoomScaleNormal="100" workbookViewId="0"/>
  </sheetViews>
  <sheetFormatPr defaultColWidth="8.83203125" defaultRowHeight="14.5" x14ac:dyDescent="0.3"/>
  <cols>
    <col min="1" max="1" width="9.33203125" style="66" customWidth="1"/>
    <col min="2" max="2" width="9.75" style="66" customWidth="1"/>
    <col min="3" max="7" width="10.33203125" style="66" customWidth="1"/>
    <col min="8" max="8" width="12.83203125" style="66" customWidth="1"/>
    <col min="9" max="9" width="9.75" style="66" customWidth="1"/>
    <col min="10" max="10" width="9.25" style="66" customWidth="1"/>
    <col min="11" max="257" width="10.33203125" style="66" customWidth="1"/>
    <col min="258" max="1024" width="8.83203125" style="66"/>
  </cols>
  <sheetData>
    <row r="1" spans="1:10" ht="20.25" customHeight="1" x14ac:dyDescent="0.3">
      <c r="A1" s="595" t="s">
        <v>284</v>
      </c>
      <c r="B1" s="595"/>
      <c r="C1" s="595"/>
      <c r="D1" s="595"/>
      <c r="E1" s="595"/>
      <c r="F1" s="595"/>
      <c r="G1" s="595"/>
      <c r="H1" s="595"/>
      <c r="I1" s="595"/>
      <c r="J1" s="595"/>
    </row>
    <row r="2" spans="1:10" ht="20.25" customHeight="1" x14ac:dyDescent="0.3">
      <c r="A2" s="596" t="s">
        <v>30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20.25" customHeight="1" x14ac:dyDescent="0.3">
      <c r="A3" s="568" t="s">
        <v>206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ht="20.25" customHeight="1" x14ac:dyDescent="0.3">
      <c r="A4" s="568" t="s">
        <v>207</v>
      </c>
      <c r="B4" s="568"/>
      <c r="C4" s="568"/>
      <c r="D4" s="568"/>
      <c r="E4" s="568"/>
      <c r="F4" s="568"/>
      <c r="G4" s="568"/>
      <c r="H4" s="568"/>
      <c r="I4" s="568"/>
      <c r="J4" s="568"/>
    </row>
    <row r="5" spans="1:10" ht="18.75" customHeight="1" x14ac:dyDescent="0.35">
      <c r="A5" s="567"/>
      <c r="B5" s="567"/>
      <c r="C5" s="567"/>
      <c r="D5" s="567"/>
      <c r="E5" s="567"/>
      <c r="F5" s="567"/>
      <c r="G5" s="567"/>
      <c r="H5" s="567"/>
      <c r="I5" s="567"/>
      <c r="J5" s="567"/>
    </row>
    <row r="6" spans="1:10" ht="20.25" customHeight="1" x14ac:dyDescent="0.3">
      <c r="A6" s="570" t="s">
        <v>33</v>
      </c>
      <c r="B6" s="570"/>
      <c r="C6" s="570"/>
      <c r="D6" s="570"/>
      <c r="E6" s="570"/>
      <c r="F6" s="570"/>
      <c r="G6" s="570"/>
      <c r="H6" s="570"/>
      <c r="I6" s="570"/>
      <c r="J6" s="570"/>
    </row>
    <row r="7" spans="1:10" ht="20.25" customHeight="1" x14ac:dyDescent="0.35">
      <c r="A7" s="67" t="s">
        <v>34</v>
      </c>
      <c r="B7" s="568" t="s">
        <v>35</v>
      </c>
      <c r="C7" s="568"/>
      <c r="D7" s="568"/>
      <c r="E7" s="568"/>
      <c r="F7" s="568"/>
      <c r="G7" s="568"/>
      <c r="H7" s="597" t="s">
        <v>164</v>
      </c>
      <c r="I7" s="597"/>
      <c r="J7" s="597"/>
    </row>
    <row r="8" spans="1:10" ht="20.25" customHeight="1" x14ac:dyDescent="0.3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  <c r="J8" s="593"/>
    </row>
    <row r="9" spans="1:10" ht="20.25" customHeight="1" x14ac:dyDescent="0.3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272</v>
      </c>
      <c r="I9" s="593"/>
      <c r="J9" s="593"/>
    </row>
    <row r="10" spans="1:10" ht="20.25" customHeight="1" x14ac:dyDescent="0.3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  <c r="J10" s="594"/>
    </row>
    <row r="11" spans="1:10" ht="18.75" customHeight="1" x14ac:dyDescent="0.35">
      <c r="A11" s="567"/>
      <c r="B11" s="567"/>
      <c r="C11" s="567"/>
      <c r="D11" s="567"/>
      <c r="E11" s="567"/>
      <c r="F11" s="567"/>
      <c r="G11" s="567"/>
      <c r="H11" s="567"/>
      <c r="I11" s="567"/>
      <c r="J11" s="567"/>
    </row>
    <row r="12" spans="1:10" ht="50.25" customHeight="1" x14ac:dyDescent="0.3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  <c r="J12" s="570"/>
    </row>
    <row r="13" spans="1:10" ht="18.75" customHeight="1" x14ac:dyDescent="0.35">
      <c r="A13" s="567"/>
      <c r="B13" s="567"/>
      <c r="C13" s="567"/>
      <c r="D13" s="567"/>
      <c r="E13" s="567"/>
      <c r="F13" s="567"/>
      <c r="G13" s="567"/>
      <c r="H13" s="567"/>
      <c r="I13" s="567"/>
      <c r="J13" s="567"/>
    </row>
    <row r="14" spans="1:10" ht="20.25" customHeight="1" x14ac:dyDescent="0.3">
      <c r="A14" s="586" t="s">
        <v>47</v>
      </c>
      <c r="B14" s="586"/>
      <c r="C14" s="586"/>
      <c r="D14" s="586"/>
      <c r="E14" s="586"/>
      <c r="F14" s="586"/>
      <c r="G14" s="586"/>
      <c r="H14" s="586"/>
      <c r="I14" s="586"/>
      <c r="J14" s="586"/>
    </row>
    <row r="15" spans="1:10" ht="20.25" customHeight="1" x14ac:dyDescent="0.3">
      <c r="A15" s="67">
        <v>2</v>
      </c>
      <c r="B15" s="568" t="s">
        <v>49</v>
      </c>
      <c r="C15" s="568"/>
      <c r="D15" s="568"/>
      <c r="E15" s="568"/>
      <c r="F15" s="568"/>
      <c r="G15" s="568"/>
      <c r="H15" s="575">
        <v>7823</v>
      </c>
      <c r="I15" s="575"/>
      <c r="J15" s="575"/>
    </row>
    <row r="16" spans="1:10" ht="20.25" customHeight="1" x14ac:dyDescent="0.3">
      <c r="A16" s="67">
        <v>3</v>
      </c>
      <c r="B16" s="568" t="s">
        <v>285</v>
      </c>
      <c r="C16" s="568"/>
      <c r="D16" s="568"/>
      <c r="E16" s="568"/>
      <c r="F16" s="568"/>
      <c r="G16" s="568"/>
      <c r="H16" s="591">
        <v>1420.82</v>
      </c>
      <c r="I16" s="591"/>
      <c r="J16" s="591"/>
    </row>
    <row r="17" spans="1:10" ht="35.25" customHeight="1" x14ac:dyDescent="0.3">
      <c r="A17" s="67">
        <v>4</v>
      </c>
      <c r="B17" s="568" t="s">
        <v>51</v>
      </c>
      <c r="C17" s="568"/>
      <c r="D17" s="568"/>
      <c r="E17" s="568"/>
      <c r="F17" s="568"/>
      <c r="G17" s="568"/>
      <c r="H17" s="575" t="s">
        <v>286</v>
      </c>
      <c r="I17" s="575"/>
      <c r="J17" s="575"/>
    </row>
    <row r="18" spans="1:10" ht="20.25" customHeight="1" x14ac:dyDescent="0.3">
      <c r="A18" s="67">
        <v>5</v>
      </c>
      <c r="B18" s="568" t="s">
        <v>52</v>
      </c>
      <c r="C18" s="568"/>
      <c r="D18" s="568"/>
      <c r="E18" s="568"/>
      <c r="F18" s="568"/>
      <c r="G18" s="568"/>
      <c r="H18" s="592">
        <v>44044</v>
      </c>
      <c r="I18" s="592"/>
      <c r="J18" s="592"/>
    </row>
    <row r="19" spans="1:10" ht="18.75" customHeight="1" x14ac:dyDescent="0.35">
      <c r="A19" s="567"/>
      <c r="B19" s="567"/>
      <c r="C19" s="567"/>
      <c r="D19" s="567"/>
      <c r="E19" s="567"/>
      <c r="F19" s="567"/>
      <c r="G19" s="567"/>
      <c r="H19" s="567"/>
      <c r="I19" s="567"/>
      <c r="J19" s="567"/>
    </row>
    <row r="20" spans="1:10" ht="20.25" customHeight="1" x14ac:dyDescent="0.3">
      <c r="A20" s="577" t="s">
        <v>214</v>
      </c>
      <c r="B20" s="577"/>
      <c r="C20" s="577"/>
      <c r="D20" s="577"/>
      <c r="E20" s="577"/>
      <c r="F20" s="577"/>
      <c r="G20" s="577"/>
      <c r="H20" s="577"/>
      <c r="I20" s="577"/>
      <c r="J20" s="577"/>
    </row>
    <row r="21" spans="1:10" ht="19.5" customHeight="1" x14ac:dyDescent="0.3">
      <c r="A21" s="70">
        <v>1</v>
      </c>
      <c r="B21" s="579" t="s">
        <v>65</v>
      </c>
      <c r="C21" s="579"/>
      <c r="D21" s="579"/>
      <c r="E21" s="579"/>
      <c r="F21" s="579"/>
      <c r="G21" s="579"/>
      <c r="H21" s="579"/>
      <c r="I21" s="579"/>
      <c r="J21" s="70" t="s">
        <v>85</v>
      </c>
    </row>
    <row r="22" spans="1:10" ht="20.25" customHeight="1" x14ac:dyDescent="0.3">
      <c r="A22" s="67" t="s">
        <v>34</v>
      </c>
      <c r="B22" s="568" t="s">
        <v>287</v>
      </c>
      <c r="C22" s="568"/>
      <c r="D22" s="568"/>
      <c r="E22" s="568"/>
      <c r="F22" s="568"/>
      <c r="G22" s="568"/>
      <c r="H22" s="568"/>
      <c r="I22" s="568"/>
      <c r="J22" s="91">
        <f>H16</f>
        <v>1420.82</v>
      </c>
    </row>
    <row r="23" spans="1:10" ht="20.25" customHeight="1" x14ac:dyDescent="0.3">
      <c r="A23" s="67" t="s">
        <v>36</v>
      </c>
      <c r="B23" s="568" t="s">
        <v>74</v>
      </c>
      <c r="C23" s="568"/>
      <c r="D23" s="568"/>
      <c r="E23" s="568"/>
      <c r="F23" s="568"/>
      <c r="G23" s="568"/>
      <c r="H23" s="568"/>
      <c r="I23" s="568"/>
      <c r="J23" s="91"/>
    </row>
    <row r="24" spans="1:10" ht="20.25" customHeight="1" x14ac:dyDescent="0.3">
      <c r="A24" s="580" t="s">
        <v>75</v>
      </c>
      <c r="B24" s="580"/>
      <c r="C24" s="580"/>
      <c r="D24" s="580"/>
      <c r="E24" s="580"/>
      <c r="F24" s="580"/>
      <c r="G24" s="580"/>
      <c r="H24" s="580"/>
      <c r="I24" s="580"/>
      <c r="J24" s="111">
        <f>SUM(J22:J23)</f>
        <v>1420.82</v>
      </c>
    </row>
    <row r="25" spans="1:10" ht="18.75" customHeight="1" x14ac:dyDescent="0.35">
      <c r="A25" s="567"/>
      <c r="B25" s="567"/>
      <c r="C25" s="567"/>
      <c r="D25" s="567"/>
      <c r="E25" s="567"/>
      <c r="F25" s="567"/>
      <c r="G25" s="567"/>
      <c r="H25" s="567"/>
      <c r="I25" s="567"/>
      <c r="J25" s="567"/>
    </row>
    <row r="26" spans="1:10" ht="20.25" customHeight="1" x14ac:dyDescent="0.3">
      <c r="A26" s="577" t="s">
        <v>216</v>
      </c>
      <c r="B26" s="577"/>
      <c r="C26" s="577"/>
      <c r="D26" s="577"/>
      <c r="E26" s="577"/>
      <c r="F26" s="577"/>
      <c r="G26" s="577"/>
      <c r="H26" s="577"/>
      <c r="I26" s="577"/>
      <c r="J26" s="577"/>
    </row>
    <row r="27" spans="1:10" ht="20.25" customHeight="1" x14ac:dyDescent="0.3">
      <c r="A27" s="587" t="s">
        <v>217</v>
      </c>
      <c r="B27" s="587"/>
      <c r="C27" s="587"/>
      <c r="D27" s="587"/>
      <c r="E27" s="587"/>
      <c r="F27" s="587"/>
      <c r="G27" s="587"/>
      <c r="H27" s="587"/>
      <c r="I27" s="587"/>
      <c r="J27" s="587"/>
    </row>
    <row r="28" spans="1:10" ht="20.25" customHeight="1" x14ac:dyDescent="0.3">
      <c r="A28" s="74" t="s">
        <v>82</v>
      </c>
      <c r="B28" s="590" t="s">
        <v>118</v>
      </c>
      <c r="C28" s="590"/>
      <c r="D28" s="590"/>
      <c r="E28" s="590"/>
      <c r="F28" s="590"/>
      <c r="G28" s="590"/>
      <c r="H28" s="590"/>
      <c r="I28" s="590"/>
      <c r="J28" s="75" t="s">
        <v>85</v>
      </c>
    </row>
    <row r="29" spans="1:10" ht="39.75" customHeight="1" x14ac:dyDescent="0.3">
      <c r="A29" s="76" t="s">
        <v>34</v>
      </c>
      <c r="B29" s="568" t="s">
        <v>288</v>
      </c>
      <c r="C29" s="568"/>
      <c r="D29" s="568"/>
      <c r="E29" s="568"/>
      <c r="F29" s="568"/>
      <c r="G29" s="568"/>
      <c r="H29" s="568"/>
      <c r="I29" s="77">
        <v>8.3299999999999999E-2</v>
      </c>
      <c r="J29" s="78">
        <f>ROUND($J$24*I29,2)</f>
        <v>118.35</v>
      </c>
    </row>
    <row r="30" spans="1:10" ht="18.75" customHeight="1" x14ac:dyDescent="0.3">
      <c r="A30" s="76" t="s">
        <v>36</v>
      </c>
      <c r="B30" s="589" t="s">
        <v>87</v>
      </c>
      <c r="C30" s="589"/>
      <c r="D30" s="589"/>
      <c r="E30" s="589"/>
      <c r="F30" s="589"/>
      <c r="G30" s="589"/>
      <c r="H30" s="589"/>
      <c r="I30" s="79">
        <v>3.0249999999999999E-2</v>
      </c>
      <c r="J30" s="78">
        <f>ROUND($J$24*I30,2)</f>
        <v>42.98</v>
      </c>
    </row>
    <row r="31" spans="1:10" ht="18.75" customHeight="1" x14ac:dyDescent="0.3">
      <c r="A31" s="583" t="s">
        <v>75</v>
      </c>
      <c r="B31" s="583"/>
      <c r="C31" s="583"/>
      <c r="D31" s="583"/>
      <c r="E31" s="583"/>
      <c r="F31" s="583"/>
      <c r="G31" s="583"/>
      <c r="H31" s="583"/>
      <c r="I31" s="583"/>
      <c r="J31" s="112">
        <f>SUM(J29+J30)</f>
        <v>161.32999999999998</v>
      </c>
    </row>
    <row r="32" spans="1:10" ht="18.75" customHeight="1" x14ac:dyDescent="0.3">
      <c r="A32" s="76" t="s">
        <v>38</v>
      </c>
      <c r="B32" s="573" t="s">
        <v>219</v>
      </c>
      <c r="C32" s="573"/>
      <c r="D32" s="573"/>
      <c r="E32" s="573"/>
      <c r="F32" s="573"/>
      <c r="G32" s="573"/>
      <c r="H32" s="573"/>
      <c r="I32" s="573"/>
      <c r="J32" s="81">
        <f>ROUND(I45*J31,2)</f>
        <v>57.72</v>
      </c>
    </row>
    <row r="33" spans="1:10" ht="18.75" customHeight="1" x14ac:dyDescent="0.3">
      <c r="A33" s="574" t="s">
        <v>75</v>
      </c>
      <c r="B33" s="574"/>
      <c r="C33" s="574"/>
      <c r="D33" s="574"/>
      <c r="E33" s="574"/>
      <c r="F33" s="574"/>
      <c r="G33" s="574"/>
      <c r="H33" s="574"/>
      <c r="I33" s="574"/>
      <c r="J33" s="83">
        <f>J31+J32</f>
        <v>219.04999999999998</v>
      </c>
    </row>
    <row r="34" spans="1:10" ht="18.75" customHeight="1" x14ac:dyDescent="0.35">
      <c r="A34" s="567"/>
      <c r="B34" s="567"/>
      <c r="C34" s="567"/>
      <c r="D34" s="567"/>
      <c r="E34" s="567"/>
      <c r="F34" s="567"/>
      <c r="G34" s="567"/>
      <c r="H34" s="567"/>
      <c r="I34" s="567"/>
      <c r="J34" s="567"/>
    </row>
    <row r="35" spans="1:10" ht="18.75" customHeight="1" x14ac:dyDescent="0.3">
      <c r="A35" s="587" t="s">
        <v>220</v>
      </c>
      <c r="B35" s="587"/>
      <c r="C35" s="587"/>
      <c r="D35" s="587"/>
      <c r="E35" s="587"/>
      <c r="F35" s="587"/>
      <c r="G35" s="587"/>
      <c r="H35" s="587"/>
      <c r="I35" s="587"/>
      <c r="J35" s="587"/>
    </row>
    <row r="36" spans="1:10" ht="20.25" customHeight="1" x14ac:dyDescent="0.3">
      <c r="A36" s="74" t="s">
        <v>89</v>
      </c>
      <c r="B36" s="582" t="s">
        <v>90</v>
      </c>
      <c r="C36" s="582"/>
      <c r="D36" s="582"/>
      <c r="E36" s="582"/>
      <c r="F36" s="582"/>
      <c r="G36" s="582"/>
      <c r="H36" s="582"/>
      <c r="I36" s="75" t="s">
        <v>221</v>
      </c>
      <c r="J36" s="75" t="s">
        <v>85</v>
      </c>
    </row>
    <row r="37" spans="1:10" ht="18.75" customHeight="1" x14ac:dyDescent="0.3">
      <c r="A37" s="76" t="s">
        <v>34</v>
      </c>
      <c r="B37" s="573" t="s">
        <v>91</v>
      </c>
      <c r="C37" s="573"/>
      <c r="D37" s="573"/>
      <c r="E37" s="573"/>
      <c r="F37" s="573"/>
      <c r="G37" s="573"/>
      <c r="H37" s="573"/>
      <c r="I37" s="84">
        <v>0.2</v>
      </c>
      <c r="J37" s="81">
        <f t="shared" ref="J37:J44" si="0">ROUND($J$24*I37,2)</f>
        <v>284.16000000000003</v>
      </c>
    </row>
    <row r="38" spans="1:10" ht="18.75" customHeight="1" x14ac:dyDescent="0.3">
      <c r="A38" s="76" t="s">
        <v>36</v>
      </c>
      <c r="B38" s="573" t="s">
        <v>92</v>
      </c>
      <c r="C38" s="573"/>
      <c r="D38" s="573"/>
      <c r="E38" s="573"/>
      <c r="F38" s="573"/>
      <c r="G38" s="573"/>
      <c r="H38" s="573"/>
      <c r="I38" s="84">
        <v>2.5000000000000001E-2</v>
      </c>
      <c r="J38" s="81">
        <f t="shared" si="0"/>
        <v>35.520000000000003</v>
      </c>
    </row>
    <row r="39" spans="1:10" ht="50.25" customHeight="1" x14ac:dyDescent="0.3">
      <c r="A39" s="76" t="s">
        <v>38</v>
      </c>
      <c r="B39" s="568" t="s">
        <v>289</v>
      </c>
      <c r="C39" s="568"/>
      <c r="D39" s="568"/>
      <c r="E39" s="67" t="s">
        <v>94</v>
      </c>
      <c r="F39" s="85">
        <v>0.02</v>
      </c>
      <c r="G39" s="67" t="s">
        <v>95</v>
      </c>
      <c r="H39" s="86">
        <v>0.99</v>
      </c>
      <c r="I39" s="87">
        <f>ROUND((F39*H39),6)</f>
        <v>1.9800000000000002E-2</v>
      </c>
      <c r="J39" s="81">
        <f t="shared" si="0"/>
        <v>28.13</v>
      </c>
    </row>
    <row r="40" spans="1:10" ht="18.75" customHeight="1" x14ac:dyDescent="0.3">
      <c r="A40" s="76" t="s">
        <v>40</v>
      </c>
      <c r="B40" s="573" t="s">
        <v>96</v>
      </c>
      <c r="C40" s="573"/>
      <c r="D40" s="573"/>
      <c r="E40" s="573"/>
      <c r="F40" s="573"/>
      <c r="G40" s="573"/>
      <c r="H40" s="573"/>
      <c r="I40" s="84">
        <v>1.4999999999999999E-2</v>
      </c>
      <c r="J40" s="81">
        <f t="shared" si="0"/>
        <v>21.31</v>
      </c>
    </row>
    <row r="41" spans="1:10" ht="18.75" customHeight="1" x14ac:dyDescent="0.3">
      <c r="A41" s="76" t="s">
        <v>73</v>
      </c>
      <c r="B41" s="573" t="s">
        <v>97</v>
      </c>
      <c r="C41" s="573"/>
      <c r="D41" s="573"/>
      <c r="E41" s="573"/>
      <c r="F41" s="573"/>
      <c r="G41" s="573"/>
      <c r="H41" s="573"/>
      <c r="I41" s="84">
        <v>0.01</v>
      </c>
      <c r="J41" s="81">
        <f t="shared" si="0"/>
        <v>14.21</v>
      </c>
    </row>
    <row r="42" spans="1:10" ht="18.75" customHeight="1" x14ac:dyDescent="0.3">
      <c r="A42" s="76" t="s">
        <v>76</v>
      </c>
      <c r="B42" s="573" t="s">
        <v>98</v>
      </c>
      <c r="C42" s="573"/>
      <c r="D42" s="573"/>
      <c r="E42" s="573"/>
      <c r="F42" s="573"/>
      <c r="G42" s="573"/>
      <c r="H42" s="573"/>
      <c r="I42" s="84">
        <v>6.0000000000000001E-3</v>
      </c>
      <c r="J42" s="81">
        <f t="shared" si="0"/>
        <v>8.52</v>
      </c>
    </row>
    <row r="43" spans="1:10" ht="18.75" customHeight="1" x14ac:dyDescent="0.3">
      <c r="A43" s="76" t="s">
        <v>99</v>
      </c>
      <c r="B43" s="573" t="s">
        <v>100</v>
      </c>
      <c r="C43" s="573"/>
      <c r="D43" s="573"/>
      <c r="E43" s="573"/>
      <c r="F43" s="573"/>
      <c r="G43" s="573"/>
      <c r="H43" s="573"/>
      <c r="I43" s="84">
        <v>2E-3</v>
      </c>
      <c r="J43" s="81">
        <f t="shared" si="0"/>
        <v>2.84</v>
      </c>
    </row>
    <row r="44" spans="1:10" ht="18.75" customHeight="1" x14ac:dyDescent="0.3">
      <c r="A44" s="76" t="s">
        <v>101</v>
      </c>
      <c r="B44" s="573" t="s">
        <v>102</v>
      </c>
      <c r="C44" s="573"/>
      <c r="D44" s="573"/>
      <c r="E44" s="573"/>
      <c r="F44" s="573"/>
      <c r="G44" s="573"/>
      <c r="H44" s="573"/>
      <c r="I44" s="84">
        <v>0.08</v>
      </c>
      <c r="J44" s="81">
        <f t="shared" si="0"/>
        <v>113.67</v>
      </c>
    </row>
    <row r="45" spans="1:10" ht="18.75" customHeight="1" x14ac:dyDescent="0.3">
      <c r="A45" s="574" t="s">
        <v>75</v>
      </c>
      <c r="B45" s="574"/>
      <c r="C45" s="574"/>
      <c r="D45" s="574"/>
      <c r="E45" s="574"/>
      <c r="F45" s="574"/>
      <c r="G45" s="574"/>
      <c r="H45" s="574"/>
      <c r="I45" s="88">
        <f>SUM(I37:I44)</f>
        <v>0.35780000000000006</v>
      </c>
      <c r="J45" s="83">
        <f>SUM(J37:J44)</f>
        <v>508.35999999999996</v>
      </c>
    </row>
    <row r="46" spans="1:10" ht="18.75" customHeight="1" x14ac:dyDescent="0.35">
      <c r="A46" s="567"/>
      <c r="B46" s="567"/>
      <c r="C46" s="567"/>
      <c r="D46" s="567"/>
      <c r="E46" s="567"/>
      <c r="F46" s="567"/>
      <c r="G46" s="567"/>
      <c r="H46" s="567"/>
      <c r="I46" s="567"/>
      <c r="J46" s="567"/>
    </row>
    <row r="47" spans="1:10" ht="18.75" customHeight="1" x14ac:dyDescent="0.3">
      <c r="A47" s="587" t="s">
        <v>103</v>
      </c>
      <c r="B47" s="587"/>
      <c r="C47" s="587"/>
      <c r="D47" s="587"/>
      <c r="E47" s="587"/>
      <c r="F47" s="587"/>
      <c r="G47" s="587"/>
      <c r="H47" s="587"/>
      <c r="I47" s="587"/>
      <c r="J47" s="587"/>
    </row>
    <row r="48" spans="1:10" ht="20.25" customHeight="1" x14ac:dyDescent="0.3">
      <c r="A48" s="74" t="s">
        <v>104</v>
      </c>
      <c r="B48" s="582" t="s">
        <v>105</v>
      </c>
      <c r="C48" s="582"/>
      <c r="D48" s="582"/>
      <c r="E48" s="582"/>
      <c r="F48" s="582"/>
      <c r="G48" s="582"/>
      <c r="H48" s="582"/>
      <c r="I48" s="582"/>
      <c r="J48" s="75" t="s">
        <v>85</v>
      </c>
    </row>
    <row r="49" spans="1:10" ht="30.75" customHeight="1" x14ac:dyDescent="0.3">
      <c r="A49" s="76" t="s">
        <v>34</v>
      </c>
      <c r="B49" s="568" t="s">
        <v>223</v>
      </c>
      <c r="C49" s="568"/>
      <c r="D49" s="568"/>
      <c r="E49" s="568"/>
      <c r="F49" s="568"/>
      <c r="G49" s="568"/>
      <c r="H49" s="568"/>
      <c r="I49" s="568"/>
      <c r="J49" s="81">
        <f>IF(ROUND((I52*I50*I51)-(J22*0.06),2)&lt;0,0,ROUND((I52*I50*I51)-(J22*0.06),2))*1+(I50*I51*21.726-0.06*J22)*0</f>
        <v>73.150000000000006</v>
      </c>
    </row>
    <row r="50" spans="1:10" ht="18.75" customHeight="1" x14ac:dyDescent="0.3">
      <c r="A50" s="76"/>
      <c r="B50" s="573" t="s">
        <v>224</v>
      </c>
      <c r="C50" s="573"/>
      <c r="D50" s="573"/>
      <c r="E50" s="573"/>
      <c r="F50" s="573"/>
      <c r="G50" s="573"/>
      <c r="H50" s="573"/>
      <c r="I50" s="89">
        <v>3.6</v>
      </c>
      <c r="J50" s="90" t="s">
        <v>164</v>
      </c>
    </row>
    <row r="51" spans="1:10" ht="18.75" customHeight="1" x14ac:dyDescent="0.3">
      <c r="A51" s="76"/>
      <c r="B51" s="573" t="s">
        <v>225</v>
      </c>
      <c r="C51" s="573"/>
      <c r="D51" s="573"/>
      <c r="E51" s="573"/>
      <c r="F51" s="573"/>
      <c r="G51" s="573"/>
      <c r="H51" s="573"/>
      <c r="I51" s="91">
        <v>2</v>
      </c>
      <c r="J51" s="90"/>
    </row>
    <row r="52" spans="1:10" ht="18.75" customHeight="1" x14ac:dyDescent="0.3">
      <c r="A52" s="76"/>
      <c r="B52" s="573" t="s">
        <v>226</v>
      </c>
      <c r="C52" s="573"/>
      <c r="D52" s="573"/>
      <c r="E52" s="573"/>
      <c r="F52" s="573"/>
      <c r="G52" s="573"/>
      <c r="H52" s="573"/>
      <c r="I52" s="92">
        <v>22</v>
      </c>
      <c r="J52" s="90"/>
    </row>
    <row r="53" spans="1:10" ht="30.75" customHeight="1" x14ac:dyDescent="0.3">
      <c r="A53" s="76" t="s">
        <v>36</v>
      </c>
      <c r="B53" s="568" t="s">
        <v>274</v>
      </c>
      <c r="C53" s="568"/>
      <c r="D53" s="568"/>
      <c r="E53" s="568"/>
      <c r="F53" s="568"/>
      <c r="G53" s="568"/>
      <c r="H53" s="568"/>
      <c r="I53" s="568"/>
      <c r="J53" s="81">
        <f>I54*I55-0.1</f>
        <v>360.69999999999993</v>
      </c>
    </row>
    <row r="54" spans="1:10" ht="18.75" customHeight="1" x14ac:dyDescent="0.3">
      <c r="A54" s="76"/>
      <c r="B54" s="573" t="s">
        <v>228</v>
      </c>
      <c r="C54" s="573"/>
      <c r="D54" s="573"/>
      <c r="E54" s="573"/>
      <c r="F54" s="573"/>
      <c r="G54" s="573"/>
      <c r="H54" s="573"/>
      <c r="I54" s="89">
        <v>16.399999999999999</v>
      </c>
      <c r="J54" s="90" t="s">
        <v>164</v>
      </c>
    </row>
    <row r="55" spans="1:10" ht="18.75" customHeight="1" x14ac:dyDescent="0.3">
      <c r="A55" s="113"/>
      <c r="B55" s="573" t="s">
        <v>229</v>
      </c>
      <c r="C55" s="573"/>
      <c r="D55" s="573"/>
      <c r="E55" s="573"/>
      <c r="F55" s="573"/>
      <c r="G55" s="573"/>
      <c r="H55" s="573"/>
      <c r="I55" s="92">
        <v>22</v>
      </c>
      <c r="J55" s="90"/>
    </row>
    <row r="56" spans="1:10" ht="19.5" customHeight="1" x14ac:dyDescent="0.3">
      <c r="A56" s="76" t="s">
        <v>38</v>
      </c>
      <c r="B56" s="568" t="s">
        <v>230</v>
      </c>
      <c r="C56" s="568"/>
      <c r="D56" s="568"/>
      <c r="E56" s="568"/>
      <c r="F56" s="568"/>
      <c r="G56" s="568"/>
      <c r="H56" s="568"/>
      <c r="I56" s="568"/>
      <c r="J56" s="81">
        <v>0</v>
      </c>
    </row>
    <row r="57" spans="1:10" ht="19.5" customHeight="1" x14ac:dyDescent="0.3">
      <c r="A57" s="76" t="s">
        <v>40</v>
      </c>
      <c r="B57" s="568" t="s">
        <v>231</v>
      </c>
      <c r="C57" s="568"/>
      <c r="D57" s="568"/>
      <c r="E57" s="568"/>
      <c r="F57" s="568"/>
      <c r="G57" s="568"/>
      <c r="H57" s="568"/>
      <c r="I57" s="568"/>
      <c r="J57" s="81">
        <v>0.25</v>
      </c>
    </row>
    <row r="58" spans="1:10" ht="19.5" customHeight="1" x14ac:dyDescent="0.3">
      <c r="A58" s="76" t="s">
        <v>73</v>
      </c>
      <c r="B58" s="568" t="s">
        <v>232</v>
      </c>
      <c r="C58" s="568"/>
      <c r="D58" s="568"/>
      <c r="E58" s="568"/>
      <c r="F58" s="568"/>
      <c r="G58" s="568"/>
      <c r="H58" s="568"/>
      <c r="I58" s="568"/>
      <c r="J58" s="93">
        <v>123</v>
      </c>
    </row>
    <row r="59" spans="1:10" ht="19.5" customHeight="1" x14ac:dyDescent="0.3">
      <c r="A59" s="76" t="s">
        <v>76</v>
      </c>
      <c r="B59" s="573" t="s">
        <v>233</v>
      </c>
      <c r="C59" s="573"/>
      <c r="D59" s="573"/>
      <c r="E59" s="573"/>
      <c r="F59" s="573"/>
      <c r="G59" s="573"/>
      <c r="H59" s="573"/>
      <c r="I59" s="573"/>
      <c r="J59" s="93">
        <v>1.35</v>
      </c>
    </row>
    <row r="60" spans="1:10" ht="18.75" customHeight="1" x14ac:dyDescent="0.3">
      <c r="A60" s="574" t="s">
        <v>75</v>
      </c>
      <c r="B60" s="574"/>
      <c r="C60" s="574"/>
      <c r="D60" s="574"/>
      <c r="E60" s="574"/>
      <c r="F60" s="574"/>
      <c r="G60" s="574"/>
      <c r="H60" s="574"/>
      <c r="I60" s="574"/>
      <c r="J60" s="83">
        <f>SUM(J49:J59)</f>
        <v>558.44999999999993</v>
      </c>
    </row>
    <row r="61" spans="1:10" ht="18.75" customHeight="1" x14ac:dyDescent="0.35">
      <c r="A61" s="567"/>
      <c r="B61" s="567"/>
      <c r="C61" s="567"/>
      <c r="D61" s="567"/>
      <c r="E61" s="567"/>
      <c r="F61" s="567"/>
      <c r="G61" s="567"/>
      <c r="H61" s="567"/>
      <c r="I61" s="567"/>
      <c r="J61" s="567"/>
    </row>
    <row r="62" spans="1:10" ht="18.75" customHeight="1" x14ac:dyDescent="0.3">
      <c r="A62" s="587" t="s">
        <v>234</v>
      </c>
      <c r="B62" s="587"/>
      <c r="C62" s="587"/>
      <c r="D62" s="587"/>
      <c r="E62" s="587"/>
      <c r="F62" s="587"/>
      <c r="G62" s="587"/>
      <c r="H62" s="587"/>
      <c r="I62" s="587"/>
      <c r="J62" s="587"/>
    </row>
    <row r="63" spans="1:10" ht="20.25" customHeight="1" x14ac:dyDescent="0.3">
      <c r="A63" s="70">
        <v>2</v>
      </c>
      <c r="B63" s="579" t="s">
        <v>117</v>
      </c>
      <c r="C63" s="579"/>
      <c r="D63" s="579"/>
      <c r="E63" s="579"/>
      <c r="F63" s="579"/>
      <c r="G63" s="579"/>
      <c r="H63" s="579"/>
      <c r="I63" s="579"/>
      <c r="J63" s="70" t="s">
        <v>85</v>
      </c>
    </row>
    <row r="64" spans="1:10" ht="20.25" customHeight="1" x14ac:dyDescent="0.3">
      <c r="A64" s="67" t="s">
        <v>82</v>
      </c>
      <c r="B64" s="67"/>
      <c r="C64" s="568" t="s">
        <v>118</v>
      </c>
      <c r="D64" s="568"/>
      <c r="E64" s="568"/>
      <c r="F64" s="568"/>
      <c r="G64" s="568"/>
      <c r="H64" s="568"/>
      <c r="I64" s="568"/>
      <c r="J64" s="94">
        <f>J33</f>
        <v>219.04999999999998</v>
      </c>
    </row>
    <row r="65" spans="1:10" ht="20.25" customHeight="1" x14ac:dyDescent="0.3">
      <c r="A65" s="67" t="s">
        <v>89</v>
      </c>
      <c r="B65" s="67"/>
      <c r="C65" s="568" t="s">
        <v>90</v>
      </c>
      <c r="D65" s="568"/>
      <c r="E65" s="568"/>
      <c r="F65" s="568"/>
      <c r="G65" s="568"/>
      <c r="H65" s="568"/>
      <c r="I65" s="568"/>
      <c r="J65" s="94">
        <f>J45</f>
        <v>508.35999999999996</v>
      </c>
    </row>
    <row r="66" spans="1:10" ht="20.25" customHeight="1" x14ac:dyDescent="0.3">
      <c r="A66" s="67" t="s">
        <v>104</v>
      </c>
      <c r="B66" s="67"/>
      <c r="C66" s="568" t="s">
        <v>105</v>
      </c>
      <c r="D66" s="568"/>
      <c r="E66" s="568"/>
      <c r="F66" s="568"/>
      <c r="G66" s="568"/>
      <c r="H66" s="568"/>
      <c r="I66" s="568"/>
      <c r="J66" s="94">
        <f>J60</f>
        <v>558.44999999999993</v>
      </c>
    </row>
    <row r="67" spans="1:10" ht="20.25" customHeight="1" x14ac:dyDescent="0.3">
      <c r="A67" s="580" t="s">
        <v>75</v>
      </c>
      <c r="B67" s="580"/>
      <c r="C67" s="580"/>
      <c r="D67" s="580"/>
      <c r="E67" s="580"/>
      <c r="F67" s="580"/>
      <c r="G67" s="580"/>
      <c r="H67" s="580"/>
      <c r="I67" s="580"/>
      <c r="J67" s="95">
        <f>SUM(J64+J65+J66)</f>
        <v>1285.8599999999999</v>
      </c>
    </row>
    <row r="68" spans="1:10" ht="18.75" customHeight="1" x14ac:dyDescent="0.35">
      <c r="A68" s="567"/>
      <c r="B68" s="567"/>
      <c r="C68" s="567"/>
      <c r="D68" s="567"/>
      <c r="E68" s="567"/>
      <c r="F68" s="567"/>
      <c r="G68" s="567"/>
      <c r="H68" s="567"/>
      <c r="I68" s="567"/>
      <c r="J68" s="567"/>
    </row>
    <row r="69" spans="1:10" ht="20.25" customHeight="1" x14ac:dyDescent="0.3">
      <c r="A69" s="577" t="s">
        <v>235</v>
      </c>
      <c r="B69" s="577"/>
      <c r="C69" s="577"/>
      <c r="D69" s="577"/>
      <c r="E69" s="577"/>
      <c r="F69" s="577"/>
      <c r="G69" s="577"/>
      <c r="H69" s="577"/>
      <c r="I69" s="577"/>
      <c r="J69" s="577"/>
    </row>
    <row r="70" spans="1:10" ht="20.25" customHeight="1" x14ac:dyDescent="0.3">
      <c r="A70" s="96">
        <v>3</v>
      </c>
      <c r="B70" s="579" t="s">
        <v>120</v>
      </c>
      <c r="C70" s="579"/>
      <c r="D70" s="579"/>
      <c r="E70" s="579"/>
      <c r="F70" s="579"/>
      <c r="G70" s="579"/>
      <c r="H70" s="579"/>
      <c r="I70" s="579"/>
      <c r="J70" s="96" t="s">
        <v>121</v>
      </c>
    </row>
    <row r="71" spans="1:10" ht="39.75" customHeight="1" x14ac:dyDescent="0.3">
      <c r="A71" s="76" t="s">
        <v>34</v>
      </c>
      <c r="B71" s="568" t="s">
        <v>275</v>
      </c>
      <c r="C71" s="568"/>
      <c r="D71" s="568"/>
      <c r="E71" s="568"/>
      <c r="F71" s="568"/>
      <c r="G71" s="568"/>
      <c r="H71" s="568"/>
      <c r="I71" s="568"/>
      <c r="J71" s="81">
        <f>ROUND((($J$24/12)+($J$29/12)+($J$24/12/12)+($J$30/12))*(3/30)*0.05,2)</f>
        <v>0.71</v>
      </c>
    </row>
    <row r="72" spans="1:10" ht="20.25" customHeight="1" x14ac:dyDescent="0.3">
      <c r="A72" s="76" t="s">
        <v>36</v>
      </c>
      <c r="B72" s="568" t="s">
        <v>123</v>
      </c>
      <c r="C72" s="568"/>
      <c r="D72" s="568"/>
      <c r="E72" s="568"/>
      <c r="F72" s="568"/>
      <c r="G72" s="568"/>
      <c r="H72" s="568"/>
      <c r="I72" s="568"/>
      <c r="J72" s="81">
        <f>ROUND($J$71*I44,2)</f>
        <v>0.06</v>
      </c>
    </row>
    <row r="73" spans="1:10" ht="39.75" customHeight="1" x14ac:dyDescent="0.3">
      <c r="A73" s="76" t="s">
        <v>38</v>
      </c>
      <c r="B73" s="568" t="s">
        <v>276</v>
      </c>
      <c r="C73" s="568"/>
      <c r="D73" s="568"/>
      <c r="E73" s="568"/>
      <c r="F73" s="568"/>
      <c r="G73" s="568"/>
      <c r="H73" s="568"/>
      <c r="I73" s="98">
        <v>1.9E-3</v>
      </c>
      <c r="J73" s="81">
        <f>ROUND($J$24*I73,2)</f>
        <v>2.7</v>
      </c>
    </row>
    <row r="74" spans="1:10" ht="29.25" customHeight="1" x14ac:dyDescent="0.3">
      <c r="A74" s="76" t="s">
        <v>40</v>
      </c>
      <c r="B74" s="568" t="s">
        <v>277</v>
      </c>
      <c r="C74" s="568"/>
      <c r="D74" s="568"/>
      <c r="E74" s="568"/>
      <c r="F74" s="568"/>
      <c r="G74" s="568"/>
      <c r="H74" s="568"/>
      <c r="I74" s="568"/>
      <c r="J74" s="81">
        <f>0.00194*J24</f>
        <v>2.7563908000000001</v>
      </c>
    </row>
    <row r="75" spans="1:10" ht="20.25" customHeight="1" x14ac:dyDescent="0.3">
      <c r="A75" s="76" t="s">
        <v>73</v>
      </c>
      <c r="B75" s="568" t="s">
        <v>239</v>
      </c>
      <c r="C75" s="568"/>
      <c r="D75" s="568"/>
      <c r="E75" s="568"/>
      <c r="F75" s="568"/>
      <c r="G75" s="568"/>
      <c r="H75" s="568"/>
      <c r="I75" s="568"/>
      <c r="J75" s="81">
        <f>J74*I45</f>
        <v>0.98623662824000025</v>
      </c>
    </row>
    <row r="76" spans="1:10" ht="39.75" customHeight="1" x14ac:dyDescent="0.3">
      <c r="A76" s="76" t="s">
        <v>76</v>
      </c>
      <c r="B76" s="568" t="s">
        <v>278</v>
      </c>
      <c r="C76" s="568"/>
      <c r="D76" s="568"/>
      <c r="E76" s="568"/>
      <c r="F76" s="568"/>
      <c r="G76" s="568"/>
      <c r="H76" s="568"/>
      <c r="I76" s="98">
        <v>3.8100000000000002E-2</v>
      </c>
      <c r="J76" s="81">
        <f>ROUND($J$24*I76,2)</f>
        <v>54.13</v>
      </c>
    </row>
    <row r="77" spans="1:10" ht="18.75" customHeight="1" x14ac:dyDescent="0.3">
      <c r="A77" s="574" t="s">
        <v>75</v>
      </c>
      <c r="B77" s="574"/>
      <c r="C77" s="574"/>
      <c r="D77" s="574"/>
      <c r="E77" s="574"/>
      <c r="F77" s="574"/>
      <c r="G77" s="574"/>
      <c r="H77" s="574"/>
      <c r="I77" s="574"/>
      <c r="J77" s="83">
        <f>SUM(J71:J76)</f>
        <v>61.342627428240007</v>
      </c>
    </row>
    <row r="78" spans="1:10" ht="18.75" customHeight="1" x14ac:dyDescent="0.35">
      <c r="A78" s="567"/>
      <c r="B78" s="567"/>
      <c r="C78" s="567"/>
      <c r="D78" s="567"/>
      <c r="E78" s="567"/>
      <c r="F78" s="567"/>
      <c r="G78" s="567"/>
      <c r="H78" s="567"/>
      <c r="I78" s="567"/>
      <c r="J78" s="567"/>
    </row>
    <row r="79" spans="1:10" ht="20.25" customHeight="1" x14ac:dyDescent="0.3">
      <c r="A79" s="577" t="s">
        <v>241</v>
      </c>
      <c r="B79" s="577"/>
      <c r="C79" s="577"/>
      <c r="D79" s="577"/>
      <c r="E79" s="577"/>
      <c r="F79" s="577"/>
      <c r="G79" s="577"/>
      <c r="H79" s="577"/>
      <c r="I79" s="577"/>
      <c r="J79" s="577"/>
    </row>
    <row r="80" spans="1:10" ht="20.25" customHeight="1" x14ac:dyDescent="0.3">
      <c r="A80" s="585" t="s">
        <v>279</v>
      </c>
      <c r="B80" s="585"/>
      <c r="C80" s="585"/>
      <c r="D80" s="585"/>
      <c r="E80" s="585"/>
      <c r="F80" s="585"/>
      <c r="G80" s="585"/>
      <c r="H80" s="585"/>
      <c r="I80" s="585"/>
      <c r="J80" s="99">
        <f>J84+J24+J29+J30</f>
        <v>1711.09</v>
      </c>
    </row>
    <row r="81" spans="1:10" ht="18.75" customHeight="1" x14ac:dyDescent="0.35">
      <c r="A81" s="567"/>
      <c r="B81" s="567"/>
      <c r="C81" s="567"/>
      <c r="D81" s="567"/>
      <c r="E81" s="567"/>
      <c r="F81" s="567"/>
      <c r="G81" s="567"/>
      <c r="H81" s="567"/>
      <c r="I81" s="567"/>
      <c r="J81" s="567"/>
    </row>
    <row r="82" spans="1:10" ht="20.25" customHeight="1" x14ac:dyDescent="0.3">
      <c r="A82" s="586" t="s">
        <v>243</v>
      </c>
      <c r="B82" s="586"/>
      <c r="C82" s="586"/>
      <c r="D82" s="586"/>
      <c r="E82" s="586"/>
      <c r="F82" s="586"/>
      <c r="G82" s="586"/>
      <c r="H82" s="586"/>
      <c r="I82" s="586"/>
      <c r="J82" s="586"/>
    </row>
    <row r="83" spans="1:10" ht="18.75" customHeight="1" x14ac:dyDescent="0.3">
      <c r="A83" s="74" t="s">
        <v>134</v>
      </c>
      <c r="B83" s="582" t="s">
        <v>244</v>
      </c>
      <c r="C83" s="582"/>
      <c r="D83" s="582"/>
      <c r="E83" s="582"/>
      <c r="F83" s="582"/>
      <c r="G83" s="582"/>
      <c r="H83" s="582"/>
      <c r="I83" s="582"/>
      <c r="J83" s="74" t="s">
        <v>85</v>
      </c>
    </row>
    <row r="84" spans="1:10" ht="39.75" customHeight="1" x14ac:dyDescent="0.3">
      <c r="A84" s="76" t="s">
        <v>34</v>
      </c>
      <c r="B84" s="568" t="s">
        <v>245</v>
      </c>
      <c r="C84" s="568"/>
      <c r="D84" s="568"/>
      <c r="E84" s="568"/>
      <c r="F84" s="568"/>
      <c r="G84" s="568"/>
      <c r="H84" s="568"/>
      <c r="I84" s="79">
        <v>9.0749999999999997E-2</v>
      </c>
      <c r="J84" s="81">
        <f>ROUND(($J$24*I84),2)</f>
        <v>128.94</v>
      </c>
    </row>
    <row r="85" spans="1:10" ht="18.75" customHeight="1" x14ac:dyDescent="0.3">
      <c r="A85" s="76" t="s">
        <v>36</v>
      </c>
      <c r="B85" s="568" t="s">
        <v>246</v>
      </c>
      <c r="C85" s="568"/>
      <c r="D85" s="568"/>
      <c r="E85" s="568"/>
      <c r="F85" s="568"/>
      <c r="G85" s="568"/>
      <c r="H85" s="568"/>
      <c r="I85" s="568"/>
      <c r="J85" s="91">
        <f>ROUND((($J$80/30)*2.96)/12,2)</f>
        <v>14.07</v>
      </c>
    </row>
    <row r="86" spans="1:10" ht="18.75" customHeight="1" x14ac:dyDescent="0.3">
      <c r="A86" s="76" t="s">
        <v>38</v>
      </c>
      <c r="B86" s="568" t="s">
        <v>247</v>
      </c>
      <c r="C86" s="568"/>
      <c r="D86" s="568"/>
      <c r="E86" s="568"/>
      <c r="F86" s="568"/>
      <c r="G86" s="568"/>
      <c r="H86" s="568"/>
      <c r="I86" s="568"/>
      <c r="J86" s="91">
        <f>ROUND((($J$80/30)*5)/12*0.015,2)</f>
        <v>0.36</v>
      </c>
    </row>
    <row r="87" spans="1:10" ht="18.75" customHeight="1" x14ac:dyDescent="0.3">
      <c r="A87" s="76" t="s">
        <v>40</v>
      </c>
      <c r="B87" s="568" t="s">
        <v>248</v>
      </c>
      <c r="C87" s="568"/>
      <c r="D87" s="568"/>
      <c r="E87" s="568"/>
      <c r="F87" s="568"/>
      <c r="G87" s="568"/>
      <c r="H87" s="568"/>
      <c r="I87" s="568"/>
      <c r="J87" s="81">
        <f>ROUND(((($J$80/30)*15)/12)*0.0078,2)</f>
        <v>0.56000000000000005</v>
      </c>
    </row>
    <row r="88" spans="1:10" ht="18.75" customHeight="1" x14ac:dyDescent="0.3">
      <c r="A88" s="76" t="s">
        <v>73</v>
      </c>
      <c r="B88" s="568" t="s">
        <v>249</v>
      </c>
      <c r="C88" s="568"/>
      <c r="D88" s="568"/>
      <c r="E88" s="568"/>
      <c r="F88" s="568"/>
      <c r="G88" s="568"/>
      <c r="H88" s="568"/>
      <c r="I88" s="568"/>
      <c r="J88" s="81">
        <f>ROUND(((($J$24+$J$24/3)*4/12)/12)*0.02,2)</f>
        <v>1.05</v>
      </c>
    </row>
    <row r="89" spans="1:10" ht="18.75" customHeight="1" x14ac:dyDescent="0.3">
      <c r="A89" s="76" t="s">
        <v>76</v>
      </c>
      <c r="B89" s="568" t="s">
        <v>250</v>
      </c>
      <c r="C89" s="568"/>
      <c r="D89" s="568"/>
      <c r="E89" s="568"/>
      <c r="F89" s="568"/>
      <c r="G89" s="568"/>
      <c r="H89" s="568"/>
      <c r="I89" s="568"/>
      <c r="J89" s="81">
        <f>ROUND(((($J$80/30)*5)/12),2)</f>
        <v>23.77</v>
      </c>
    </row>
    <row r="90" spans="1:10" ht="18.75" customHeight="1" x14ac:dyDescent="0.3">
      <c r="A90" s="574" t="s">
        <v>75</v>
      </c>
      <c r="B90" s="574"/>
      <c r="C90" s="574"/>
      <c r="D90" s="574"/>
      <c r="E90" s="574"/>
      <c r="F90" s="574"/>
      <c r="G90" s="574"/>
      <c r="H90" s="574"/>
      <c r="I90" s="574"/>
      <c r="J90" s="83">
        <f>SUM(J84:J89)</f>
        <v>168.75000000000003</v>
      </c>
    </row>
    <row r="91" spans="1:10" ht="18.75" customHeight="1" x14ac:dyDescent="0.3">
      <c r="A91" s="76" t="s">
        <v>99</v>
      </c>
      <c r="B91" s="573" t="s">
        <v>251</v>
      </c>
      <c r="C91" s="573"/>
      <c r="D91" s="573"/>
      <c r="E91" s="573"/>
      <c r="F91" s="573"/>
      <c r="G91" s="573"/>
      <c r="H91" s="573"/>
      <c r="I91" s="573"/>
      <c r="J91" s="81">
        <f>ROUND(I45*J90,2)</f>
        <v>60.38</v>
      </c>
    </row>
    <row r="92" spans="1:10" ht="18.75" customHeight="1" x14ac:dyDescent="0.3">
      <c r="A92" s="574" t="s">
        <v>75</v>
      </c>
      <c r="B92" s="574"/>
      <c r="C92" s="574"/>
      <c r="D92" s="574"/>
      <c r="E92" s="574"/>
      <c r="F92" s="574"/>
      <c r="G92" s="574"/>
      <c r="H92" s="574"/>
      <c r="I92" s="574"/>
      <c r="J92" s="83">
        <f>SUM(J90:J91)</f>
        <v>229.13000000000002</v>
      </c>
    </row>
    <row r="93" spans="1:10" ht="35.25" customHeight="1" x14ac:dyDescent="0.3">
      <c r="A93" s="599" t="s">
        <v>280</v>
      </c>
      <c r="B93" s="599"/>
      <c r="C93" s="599"/>
      <c r="D93" s="599"/>
      <c r="E93" s="599"/>
      <c r="F93" s="599"/>
      <c r="G93" s="599"/>
      <c r="H93" s="599"/>
      <c r="I93" s="599"/>
      <c r="J93" s="599"/>
    </row>
    <row r="94" spans="1:10" ht="18.75" customHeight="1" x14ac:dyDescent="0.35">
      <c r="A94" s="567"/>
      <c r="B94" s="567"/>
      <c r="C94" s="567"/>
      <c r="D94" s="567"/>
      <c r="E94" s="567"/>
      <c r="F94" s="567"/>
      <c r="G94" s="567"/>
      <c r="H94" s="567"/>
      <c r="I94" s="567"/>
      <c r="J94" s="567"/>
    </row>
    <row r="95" spans="1:10" ht="20.25" customHeight="1" x14ac:dyDescent="0.3">
      <c r="A95" s="581" t="s">
        <v>252</v>
      </c>
      <c r="B95" s="581"/>
      <c r="C95" s="581"/>
      <c r="D95" s="581"/>
      <c r="E95" s="581"/>
      <c r="F95" s="581"/>
      <c r="G95" s="581"/>
      <c r="H95" s="581"/>
      <c r="I95" s="581"/>
      <c r="J95" s="581"/>
    </row>
    <row r="96" spans="1:10" ht="18.75" customHeight="1" x14ac:dyDescent="0.3">
      <c r="A96" s="74" t="s">
        <v>145</v>
      </c>
      <c r="B96" s="582" t="s">
        <v>62</v>
      </c>
      <c r="C96" s="582"/>
      <c r="D96" s="582"/>
      <c r="E96" s="582"/>
      <c r="F96" s="582"/>
      <c r="G96" s="582"/>
      <c r="H96" s="582"/>
      <c r="I96" s="582"/>
      <c r="J96" s="101" t="s">
        <v>85</v>
      </c>
    </row>
    <row r="97" spans="1:10" ht="18.75" customHeight="1" x14ac:dyDescent="0.3">
      <c r="A97" s="76" t="s">
        <v>34</v>
      </c>
      <c r="B97" s="573" t="s">
        <v>253</v>
      </c>
      <c r="C97" s="573"/>
      <c r="D97" s="573"/>
      <c r="E97" s="573"/>
      <c r="F97" s="573"/>
      <c r="G97" s="573"/>
      <c r="H97" s="573"/>
      <c r="I97" s="573"/>
      <c r="J97" s="81">
        <v>0</v>
      </c>
    </row>
    <row r="98" spans="1:10" ht="18.75" customHeight="1" x14ac:dyDescent="0.3">
      <c r="A98" s="583" t="s">
        <v>75</v>
      </c>
      <c r="B98" s="583"/>
      <c r="C98" s="583"/>
      <c r="D98" s="583"/>
      <c r="E98" s="583"/>
      <c r="F98" s="583"/>
      <c r="G98" s="583"/>
      <c r="H98" s="583"/>
      <c r="I98" s="583"/>
      <c r="J98" s="81">
        <v>0</v>
      </c>
    </row>
    <row r="99" spans="1:10" ht="18.75" customHeight="1" x14ac:dyDescent="0.3">
      <c r="A99" s="76" t="s">
        <v>36</v>
      </c>
      <c r="B99" s="573" t="s">
        <v>254</v>
      </c>
      <c r="C99" s="573"/>
      <c r="D99" s="573"/>
      <c r="E99" s="573"/>
      <c r="F99" s="573"/>
      <c r="G99" s="573"/>
      <c r="H99" s="573"/>
      <c r="I99" s="573"/>
      <c r="J99" s="81">
        <f>ROUND(I45*J98,2)</f>
        <v>0</v>
      </c>
    </row>
    <row r="100" spans="1:10" ht="18.75" customHeight="1" x14ac:dyDescent="0.3">
      <c r="A100" s="574" t="s">
        <v>75</v>
      </c>
      <c r="B100" s="574"/>
      <c r="C100" s="574"/>
      <c r="D100" s="574"/>
      <c r="E100" s="574"/>
      <c r="F100" s="574"/>
      <c r="G100" s="574"/>
      <c r="H100" s="574"/>
      <c r="I100" s="574"/>
      <c r="J100" s="83">
        <f>SUM(J98:J99)</f>
        <v>0</v>
      </c>
    </row>
    <row r="101" spans="1:10" ht="18.75" customHeight="1" x14ac:dyDescent="0.35">
      <c r="A101" s="567"/>
      <c r="B101" s="567"/>
      <c r="C101" s="567"/>
      <c r="D101" s="567"/>
      <c r="E101" s="567"/>
      <c r="F101" s="567"/>
      <c r="G101" s="567"/>
      <c r="H101" s="567"/>
      <c r="I101" s="567"/>
      <c r="J101" s="567"/>
    </row>
    <row r="102" spans="1:10" ht="35.25" customHeight="1" x14ac:dyDescent="0.3">
      <c r="A102" s="599" t="s">
        <v>281</v>
      </c>
      <c r="B102" s="599"/>
      <c r="C102" s="599"/>
      <c r="D102" s="599"/>
      <c r="E102" s="599"/>
      <c r="F102" s="599"/>
      <c r="G102" s="599"/>
      <c r="H102" s="599"/>
      <c r="I102" s="599"/>
      <c r="J102" s="599"/>
    </row>
    <row r="103" spans="1:10" ht="18.75" customHeight="1" x14ac:dyDescent="0.35">
      <c r="A103" s="567"/>
      <c r="B103" s="567"/>
      <c r="C103" s="567"/>
      <c r="D103" s="567"/>
      <c r="E103" s="567"/>
      <c r="F103" s="567"/>
      <c r="G103" s="567"/>
      <c r="H103" s="567"/>
      <c r="I103" s="567"/>
      <c r="J103" s="567"/>
    </row>
    <row r="104" spans="1:10" ht="20.25" customHeight="1" x14ac:dyDescent="0.3">
      <c r="A104" s="581" t="s">
        <v>255</v>
      </c>
      <c r="B104" s="581"/>
      <c r="C104" s="581"/>
      <c r="D104" s="581"/>
      <c r="E104" s="581"/>
      <c r="F104" s="581"/>
      <c r="G104" s="581"/>
      <c r="H104" s="581"/>
      <c r="I104" s="581"/>
      <c r="J104" s="581"/>
    </row>
    <row r="105" spans="1:10" ht="20.25" customHeight="1" x14ac:dyDescent="0.3">
      <c r="A105" s="70">
        <v>4</v>
      </c>
      <c r="B105" s="579" t="s">
        <v>149</v>
      </c>
      <c r="C105" s="579"/>
      <c r="D105" s="579"/>
      <c r="E105" s="579"/>
      <c r="F105" s="579"/>
      <c r="G105" s="579"/>
      <c r="H105" s="579"/>
      <c r="I105" s="579"/>
      <c r="J105" s="102" t="s">
        <v>85</v>
      </c>
    </row>
    <row r="106" spans="1:10" ht="20.25" customHeight="1" x14ac:dyDescent="0.3">
      <c r="A106" s="67" t="s">
        <v>134</v>
      </c>
      <c r="B106" s="568" t="s">
        <v>244</v>
      </c>
      <c r="C106" s="568"/>
      <c r="D106" s="568"/>
      <c r="E106" s="568"/>
      <c r="F106" s="568"/>
      <c r="G106" s="568"/>
      <c r="H106" s="568"/>
      <c r="I106" s="568"/>
      <c r="J106" s="81">
        <f>J92</f>
        <v>229.13000000000002</v>
      </c>
    </row>
    <row r="107" spans="1:10" ht="20.25" customHeight="1" x14ac:dyDescent="0.3">
      <c r="A107" s="67" t="s">
        <v>145</v>
      </c>
      <c r="B107" s="568" t="s">
        <v>62</v>
      </c>
      <c r="C107" s="568"/>
      <c r="D107" s="568"/>
      <c r="E107" s="568"/>
      <c r="F107" s="568"/>
      <c r="G107" s="568"/>
      <c r="H107" s="568"/>
      <c r="I107" s="568"/>
      <c r="J107" s="81">
        <f>J100</f>
        <v>0</v>
      </c>
    </row>
    <row r="108" spans="1:10" ht="20.25" customHeight="1" x14ac:dyDescent="0.3">
      <c r="A108" s="580" t="s">
        <v>75</v>
      </c>
      <c r="B108" s="580"/>
      <c r="C108" s="580"/>
      <c r="D108" s="580"/>
      <c r="E108" s="580"/>
      <c r="F108" s="580"/>
      <c r="G108" s="580"/>
      <c r="H108" s="580"/>
      <c r="I108" s="580"/>
      <c r="J108" s="83">
        <f>SUM(J106+J107)</f>
        <v>229.13000000000002</v>
      </c>
    </row>
    <row r="109" spans="1:10" ht="18.75" customHeight="1" x14ac:dyDescent="0.35">
      <c r="A109" s="567"/>
      <c r="B109" s="567"/>
      <c r="C109" s="567"/>
      <c r="D109" s="567"/>
      <c r="E109" s="567"/>
      <c r="F109" s="567"/>
      <c r="G109" s="567"/>
      <c r="H109" s="567"/>
      <c r="I109" s="567"/>
      <c r="J109" s="567"/>
    </row>
    <row r="110" spans="1:10" ht="20.25" customHeight="1" x14ac:dyDescent="0.3">
      <c r="A110" s="577" t="s">
        <v>256</v>
      </c>
      <c r="B110" s="577"/>
      <c r="C110" s="577"/>
      <c r="D110" s="577"/>
      <c r="E110" s="577"/>
      <c r="F110" s="577"/>
      <c r="G110" s="577"/>
      <c r="H110" s="577"/>
      <c r="I110" s="577"/>
      <c r="J110" s="577"/>
    </row>
    <row r="111" spans="1:10" ht="18.75" customHeight="1" x14ac:dyDescent="0.3">
      <c r="A111" s="96">
        <v>5</v>
      </c>
      <c r="B111" s="578" t="s">
        <v>151</v>
      </c>
      <c r="C111" s="578"/>
      <c r="D111" s="578"/>
      <c r="E111" s="578"/>
      <c r="F111" s="578"/>
      <c r="G111" s="578"/>
      <c r="H111" s="578"/>
      <c r="I111" s="578"/>
      <c r="J111" s="96" t="s">
        <v>85</v>
      </c>
    </row>
    <row r="112" spans="1:10" ht="18.75" customHeight="1" x14ac:dyDescent="0.3">
      <c r="A112" s="76" t="s">
        <v>34</v>
      </c>
      <c r="B112" s="573" t="s">
        <v>152</v>
      </c>
      <c r="C112" s="573"/>
      <c r="D112" s="573"/>
      <c r="E112" s="573"/>
      <c r="F112" s="573"/>
      <c r="G112" s="573"/>
      <c r="H112" s="573"/>
      <c r="I112" s="573"/>
      <c r="J112" s="81">
        <f>(J108+J77+J67+J24)*(0.0145)</f>
        <v>43.458713097709477</v>
      </c>
    </row>
    <row r="113" spans="1:10" ht="20.25" customHeight="1" x14ac:dyDescent="0.3">
      <c r="A113" s="76" t="s">
        <v>36</v>
      </c>
      <c r="B113" s="573" t="s">
        <v>153</v>
      </c>
      <c r="C113" s="573"/>
      <c r="D113" s="573"/>
      <c r="E113" s="573"/>
      <c r="F113" s="573"/>
      <c r="G113" s="573"/>
      <c r="H113" s="573"/>
      <c r="I113" s="573"/>
      <c r="J113" s="93" t="s">
        <v>71</v>
      </c>
    </row>
    <row r="114" spans="1:10" ht="20.25" customHeight="1" x14ac:dyDescent="0.3">
      <c r="A114" s="76" t="s">
        <v>38</v>
      </c>
      <c r="B114" s="573" t="s">
        <v>257</v>
      </c>
      <c r="C114" s="573"/>
      <c r="D114" s="573"/>
      <c r="E114" s="573"/>
      <c r="F114" s="573"/>
      <c r="G114" s="573"/>
      <c r="H114" s="573"/>
      <c r="I114" s="573"/>
      <c r="J114" s="93" t="s">
        <v>71</v>
      </c>
    </row>
    <row r="115" spans="1:10" ht="20.25" customHeight="1" x14ac:dyDescent="0.3">
      <c r="A115" s="76" t="s">
        <v>40</v>
      </c>
      <c r="B115" s="573" t="s">
        <v>155</v>
      </c>
      <c r="C115" s="573"/>
      <c r="D115" s="573"/>
      <c r="E115" s="573"/>
      <c r="F115" s="573"/>
      <c r="G115" s="573"/>
      <c r="H115" s="573"/>
      <c r="I115" s="573"/>
      <c r="J115" s="93" t="s">
        <v>71</v>
      </c>
    </row>
    <row r="116" spans="1:10" ht="20.25" customHeight="1" x14ac:dyDescent="0.3">
      <c r="A116" s="574" t="s">
        <v>75</v>
      </c>
      <c r="B116" s="574"/>
      <c r="C116" s="574"/>
      <c r="D116" s="574"/>
      <c r="E116" s="574"/>
      <c r="F116" s="574"/>
      <c r="G116" s="574"/>
      <c r="H116" s="574"/>
      <c r="I116" s="574"/>
      <c r="J116" s="99">
        <f>SUM(J112:J115)</f>
        <v>43.458713097709477</v>
      </c>
    </row>
    <row r="117" spans="1:10" ht="18.75" customHeight="1" x14ac:dyDescent="0.35">
      <c r="A117" s="567"/>
      <c r="B117" s="567"/>
      <c r="C117" s="567"/>
      <c r="D117" s="567"/>
      <c r="E117" s="567"/>
      <c r="F117" s="567"/>
      <c r="G117" s="567"/>
      <c r="H117" s="567"/>
      <c r="I117" s="567"/>
      <c r="J117" s="567"/>
    </row>
    <row r="118" spans="1:10" ht="20.25" customHeight="1" x14ac:dyDescent="0.3">
      <c r="A118" s="599" t="s">
        <v>282</v>
      </c>
      <c r="B118" s="599"/>
      <c r="C118" s="599"/>
      <c r="D118" s="599"/>
      <c r="E118" s="599"/>
      <c r="F118" s="599"/>
      <c r="G118" s="599"/>
      <c r="H118" s="599"/>
      <c r="I118" s="599"/>
      <c r="J118" s="599"/>
    </row>
    <row r="119" spans="1:10" ht="18.75" customHeight="1" x14ac:dyDescent="0.35">
      <c r="A119" s="567"/>
      <c r="B119" s="567"/>
      <c r="C119" s="567"/>
      <c r="D119" s="567"/>
      <c r="E119" s="567"/>
      <c r="F119" s="567"/>
      <c r="G119" s="567"/>
      <c r="H119" s="567"/>
      <c r="I119" s="567"/>
      <c r="J119" s="567"/>
    </row>
    <row r="120" spans="1:10" ht="20.25" customHeight="1" x14ac:dyDescent="0.3">
      <c r="A120" s="577" t="s">
        <v>258</v>
      </c>
      <c r="B120" s="577"/>
      <c r="C120" s="577"/>
      <c r="D120" s="577"/>
      <c r="E120" s="577"/>
      <c r="F120" s="577"/>
      <c r="G120" s="577"/>
      <c r="H120" s="577"/>
      <c r="I120" s="577"/>
      <c r="J120" s="577"/>
    </row>
    <row r="121" spans="1:10" ht="20.25" customHeight="1" x14ac:dyDescent="0.3">
      <c r="A121" s="96">
        <v>6</v>
      </c>
      <c r="B121" s="578" t="s">
        <v>157</v>
      </c>
      <c r="C121" s="578"/>
      <c r="D121" s="578"/>
      <c r="E121" s="578"/>
      <c r="F121" s="578"/>
      <c r="G121" s="578"/>
      <c r="H121" s="578"/>
      <c r="I121" s="70" t="s">
        <v>221</v>
      </c>
      <c r="J121" s="105" t="s">
        <v>85</v>
      </c>
    </row>
    <row r="122" spans="1:10" ht="50.25" customHeight="1" x14ac:dyDescent="0.3">
      <c r="A122" s="568" t="s">
        <v>259</v>
      </c>
      <c r="B122" s="568"/>
      <c r="C122" s="568"/>
      <c r="D122" s="568"/>
      <c r="E122" s="568"/>
      <c r="F122" s="568"/>
      <c r="G122" s="568"/>
      <c r="H122" s="568"/>
      <c r="I122" s="106" t="s">
        <v>164</v>
      </c>
      <c r="J122" s="81">
        <f>SUM(J24+J67+J77+J108+J116)</f>
        <v>3040.6113405259493</v>
      </c>
    </row>
    <row r="123" spans="1:10" ht="18.75" customHeight="1" x14ac:dyDescent="0.3">
      <c r="A123" s="76" t="s">
        <v>34</v>
      </c>
      <c r="B123" s="573" t="s">
        <v>159</v>
      </c>
      <c r="C123" s="573"/>
      <c r="D123" s="573"/>
      <c r="E123" s="573"/>
      <c r="F123" s="573"/>
      <c r="G123" s="573"/>
      <c r="H123" s="573"/>
      <c r="I123" s="84">
        <v>7.1000000000000004E-3</v>
      </c>
      <c r="J123" s="81">
        <f>ROUND(I123*J122,2)</f>
        <v>21.59</v>
      </c>
    </row>
    <row r="124" spans="1:10" ht="65.25" customHeight="1" x14ac:dyDescent="0.3">
      <c r="A124" s="568" t="s">
        <v>260</v>
      </c>
      <c r="B124" s="568"/>
      <c r="C124" s="568"/>
      <c r="D124" s="568"/>
      <c r="E124" s="568"/>
      <c r="F124" s="568"/>
      <c r="G124" s="568"/>
      <c r="H124" s="568"/>
      <c r="I124" s="107" t="s">
        <v>164</v>
      </c>
      <c r="J124" s="81">
        <f>SUM(J24+J67+J77+J108+J116+J123)</f>
        <v>3062.2013405259495</v>
      </c>
    </row>
    <row r="125" spans="1:10" ht="18.75" customHeight="1" x14ac:dyDescent="0.3">
      <c r="A125" s="76" t="s">
        <v>36</v>
      </c>
      <c r="B125" s="573" t="s">
        <v>161</v>
      </c>
      <c r="C125" s="573"/>
      <c r="D125" s="573"/>
      <c r="E125" s="573"/>
      <c r="F125" s="573"/>
      <c r="G125" s="573"/>
      <c r="H125" s="573"/>
      <c r="I125" s="84">
        <v>7.1000000000000004E-3</v>
      </c>
      <c r="J125" s="81">
        <f>ROUND(I125*J124,2)</f>
        <v>21.74</v>
      </c>
    </row>
    <row r="126" spans="1:10" ht="65.25" customHeight="1" x14ac:dyDescent="0.3">
      <c r="A126" s="568" t="s">
        <v>261</v>
      </c>
      <c r="B126" s="568"/>
      <c r="C126" s="568"/>
      <c r="D126" s="568"/>
      <c r="E126" s="568"/>
      <c r="F126" s="568"/>
      <c r="G126" s="568"/>
      <c r="H126" s="568"/>
      <c r="I126" s="107" t="s">
        <v>164</v>
      </c>
      <c r="J126" s="81">
        <f>SUM(J24+J67+J77+J108+J116+J123+J125)</f>
        <v>3083.9413405259493</v>
      </c>
    </row>
    <row r="127" spans="1:10" ht="18.75" customHeight="1" x14ac:dyDescent="0.3">
      <c r="A127" s="76" t="s">
        <v>38</v>
      </c>
      <c r="B127" s="573" t="s">
        <v>163</v>
      </c>
      <c r="C127" s="573"/>
      <c r="D127" s="573"/>
      <c r="E127" s="573"/>
      <c r="F127" s="573"/>
      <c r="G127" s="573"/>
      <c r="H127" s="573"/>
      <c r="I127" s="77" t="s">
        <v>164</v>
      </c>
      <c r="J127" s="90" t="s">
        <v>164</v>
      </c>
    </row>
    <row r="128" spans="1:10" ht="18.75" customHeight="1" x14ac:dyDescent="0.3">
      <c r="A128" s="76"/>
      <c r="B128" s="573" t="s">
        <v>165</v>
      </c>
      <c r="C128" s="573"/>
      <c r="D128" s="573"/>
      <c r="E128" s="573"/>
      <c r="F128" s="573"/>
      <c r="G128" s="573"/>
      <c r="H128" s="573"/>
      <c r="I128" s="77" t="s">
        <v>164</v>
      </c>
      <c r="J128" s="90" t="s">
        <v>164</v>
      </c>
    </row>
    <row r="129" spans="1:10" ht="20.25" customHeight="1" x14ac:dyDescent="0.3">
      <c r="A129" s="76"/>
      <c r="B129" s="573" t="s">
        <v>262</v>
      </c>
      <c r="C129" s="573"/>
      <c r="D129" s="573"/>
      <c r="E129" s="573"/>
      <c r="F129" s="573"/>
      <c r="G129" s="573"/>
      <c r="H129" s="573"/>
      <c r="I129" s="108">
        <v>0.03</v>
      </c>
      <c r="J129" s="81">
        <f>ROUND(($J$126/(1-$I$138))*I129,2)</f>
        <v>101.28</v>
      </c>
    </row>
    <row r="130" spans="1:10" ht="20.25" customHeight="1" x14ac:dyDescent="0.3">
      <c r="A130" s="76"/>
      <c r="B130" s="573" t="s">
        <v>263</v>
      </c>
      <c r="C130" s="573"/>
      <c r="D130" s="573"/>
      <c r="E130" s="573"/>
      <c r="F130" s="573"/>
      <c r="G130" s="573"/>
      <c r="H130" s="573"/>
      <c r="I130" s="108">
        <v>6.4999999999999997E-3</v>
      </c>
      <c r="J130" s="81">
        <f>ROUND(($J$126/(1-$I$138))*I130,2)</f>
        <v>21.94</v>
      </c>
    </row>
    <row r="131" spans="1:10" ht="20.25" customHeight="1" x14ac:dyDescent="0.3">
      <c r="A131" s="76"/>
      <c r="B131" s="568" t="s">
        <v>264</v>
      </c>
      <c r="C131" s="568"/>
      <c r="D131" s="568"/>
      <c r="E131" s="568"/>
      <c r="F131" s="568"/>
      <c r="G131" s="568"/>
      <c r="H131" s="568"/>
      <c r="I131" s="98" t="s">
        <v>164</v>
      </c>
      <c r="J131" s="90" t="s">
        <v>164</v>
      </c>
    </row>
    <row r="132" spans="1:10" ht="20.25" customHeight="1" x14ac:dyDescent="0.3">
      <c r="A132" s="76"/>
      <c r="B132" s="568" t="s">
        <v>265</v>
      </c>
      <c r="C132" s="568"/>
      <c r="D132" s="568"/>
      <c r="E132" s="568"/>
      <c r="F132" s="568"/>
      <c r="G132" s="568"/>
      <c r="H132" s="568"/>
      <c r="I132" s="98" t="s">
        <v>164</v>
      </c>
      <c r="J132" s="90" t="s">
        <v>164</v>
      </c>
    </row>
    <row r="133" spans="1:10" ht="20.25" customHeight="1" x14ac:dyDescent="0.3">
      <c r="A133" s="76"/>
      <c r="B133" s="573" t="s">
        <v>168</v>
      </c>
      <c r="C133" s="573"/>
      <c r="D133" s="573"/>
      <c r="E133" s="573"/>
      <c r="F133" s="573"/>
      <c r="G133" s="573"/>
      <c r="H133" s="573"/>
      <c r="I133" s="98" t="s">
        <v>164</v>
      </c>
      <c r="J133" s="90" t="s">
        <v>164</v>
      </c>
    </row>
    <row r="134" spans="1:10" ht="20.25" customHeight="1" x14ac:dyDescent="0.3">
      <c r="A134" s="76"/>
      <c r="B134" s="573" t="s">
        <v>266</v>
      </c>
      <c r="C134" s="573"/>
      <c r="D134" s="573"/>
      <c r="E134" s="573"/>
      <c r="F134" s="573"/>
      <c r="G134" s="573"/>
      <c r="H134" s="573"/>
      <c r="I134" s="98" t="s">
        <v>164</v>
      </c>
      <c r="J134" s="90" t="s">
        <v>164</v>
      </c>
    </row>
    <row r="135" spans="1:10" ht="20.25" customHeight="1" x14ac:dyDescent="0.3">
      <c r="A135" s="76"/>
      <c r="B135" s="573" t="s">
        <v>267</v>
      </c>
      <c r="C135" s="573"/>
      <c r="D135" s="573"/>
      <c r="E135" s="573"/>
      <c r="F135" s="573"/>
      <c r="G135" s="573"/>
      <c r="H135" s="573"/>
      <c r="I135" s="108">
        <v>0.05</v>
      </c>
      <c r="J135" s="81">
        <f>ROUND(($J$126/(1-$I$138))*I135,2)</f>
        <v>168.8</v>
      </c>
    </row>
    <row r="136" spans="1:10" ht="18.75" customHeight="1" x14ac:dyDescent="0.3">
      <c r="A136" s="574" t="s">
        <v>75</v>
      </c>
      <c r="B136" s="574"/>
      <c r="C136" s="574"/>
      <c r="D136" s="574"/>
      <c r="E136" s="574"/>
      <c r="F136" s="574"/>
      <c r="G136" s="574"/>
      <c r="H136" s="574"/>
      <c r="I136" s="574"/>
      <c r="J136" s="83">
        <f>SUM(J123+J125+J129+J130+J135)</f>
        <v>335.35</v>
      </c>
    </row>
    <row r="137" spans="1:10" ht="18.75" customHeight="1" x14ac:dyDescent="0.35">
      <c r="A137" s="567"/>
      <c r="B137" s="567"/>
      <c r="C137" s="567"/>
      <c r="D137" s="567"/>
      <c r="E137" s="567"/>
      <c r="F137" s="567"/>
      <c r="G137" s="567"/>
      <c r="H137" s="567"/>
      <c r="I137" s="567"/>
      <c r="J137" s="567"/>
    </row>
    <row r="138" spans="1:10" ht="20.25" customHeight="1" x14ac:dyDescent="0.3">
      <c r="A138" s="575" t="s">
        <v>170</v>
      </c>
      <c r="B138" s="575"/>
      <c r="C138" s="575"/>
      <c r="D138" s="575"/>
      <c r="E138" s="575"/>
      <c r="F138" s="575"/>
      <c r="G138" s="575"/>
      <c r="H138" s="575"/>
      <c r="I138" s="84">
        <f>SUM(I129:I135)</f>
        <v>8.6499999999999994E-2</v>
      </c>
      <c r="J138" s="81">
        <f>SUM(J129:J135)</f>
        <v>292.02</v>
      </c>
    </row>
    <row r="139" spans="1:10" ht="18.75" customHeight="1" x14ac:dyDescent="0.3">
      <c r="A139" s="576" t="s">
        <v>171</v>
      </c>
      <c r="B139" s="576"/>
      <c r="C139" s="576"/>
      <c r="D139" s="573" t="s">
        <v>172</v>
      </c>
      <c r="E139" s="573"/>
      <c r="F139" s="573"/>
      <c r="G139" s="573"/>
      <c r="H139" s="573"/>
      <c r="I139" s="573"/>
      <c r="J139" s="573"/>
    </row>
    <row r="140" spans="1:10" ht="18.75" customHeight="1" x14ac:dyDescent="0.3">
      <c r="A140" s="576"/>
      <c r="B140" s="576"/>
      <c r="C140" s="576"/>
      <c r="D140" s="573" t="s">
        <v>173</v>
      </c>
      <c r="E140" s="573"/>
      <c r="F140" s="573"/>
      <c r="G140" s="573"/>
      <c r="H140" s="573"/>
      <c r="I140" s="573"/>
      <c r="J140" s="573"/>
    </row>
    <row r="141" spans="1:10" ht="18.75" customHeight="1" x14ac:dyDescent="0.3">
      <c r="A141" s="576"/>
      <c r="B141" s="576"/>
      <c r="C141" s="576"/>
      <c r="D141" s="573" t="s">
        <v>174</v>
      </c>
      <c r="E141" s="573"/>
      <c r="F141" s="573"/>
      <c r="G141" s="573"/>
      <c r="H141" s="573"/>
      <c r="I141" s="573"/>
      <c r="J141" s="573"/>
    </row>
    <row r="142" spans="1:10" ht="18.75" customHeight="1" x14ac:dyDescent="0.35">
      <c r="A142" s="567"/>
      <c r="B142" s="567"/>
      <c r="C142" s="567"/>
      <c r="D142" s="567"/>
      <c r="E142" s="567"/>
      <c r="F142" s="567"/>
      <c r="G142" s="567"/>
      <c r="H142" s="567"/>
      <c r="I142" s="567"/>
      <c r="J142" s="567"/>
    </row>
    <row r="143" spans="1:10" ht="35.25" customHeight="1" x14ac:dyDescent="0.3">
      <c r="A143" s="599" t="s">
        <v>283</v>
      </c>
      <c r="B143" s="599"/>
      <c r="C143" s="599"/>
      <c r="D143" s="599"/>
      <c r="E143" s="599"/>
      <c r="F143" s="599"/>
      <c r="G143" s="599"/>
      <c r="H143" s="599"/>
      <c r="I143" s="599"/>
      <c r="J143" s="599"/>
    </row>
    <row r="144" spans="1:10" ht="18.75" customHeight="1" x14ac:dyDescent="0.35">
      <c r="A144" s="567"/>
      <c r="B144" s="567"/>
      <c r="C144" s="567"/>
      <c r="D144" s="567"/>
      <c r="E144" s="567"/>
      <c r="F144" s="567"/>
      <c r="G144" s="567"/>
      <c r="H144" s="567"/>
      <c r="I144" s="567"/>
      <c r="J144" s="567"/>
    </row>
    <row r="145" spans="1:10" ht="50.25" customHeight="1" x14ac:dyDescent="0.3">
      <c r="A145" s="570" t="s">
        <v>268</v>
      </c>
      <c r="B145" s="570"/>
      <c r="C145" s="570"/>
      <c r="D145" s="570"/>
      <c r="E145" s="570"/>
      <c r="F145" s="570"/>
      <c r="G145" s="570"/>
      <c r="H145" s="570"/>
      <c r="I145" s="570"/>
      <c r="J145" s="570"/>
    </row>
    <row r="146" spans="1:10" ht="20.25" customHeight="1" x14ac:dyDescent="0.3">
      <c r="A146" s="598" t="s">
        <v>269</v>
      </c>
      <c r="B146" s="598"/>
      <c r="C146" s="598"/>
      <c r="D146" s="598"/>
      <c r="E146" s="598"/>
      <c r="F146" s="598"/>
      <c r="G146" s="598"/>
      <c r="H146" s="598"/>
      <c r="I146" s="598"/>
      <c r="J146" s="100" t="s">
        <v>85</v>
      </c>
    </row>
    <row r="147" spans="1:10" ht="20.25" customHeight="1" x14ac:dyDescent="0.3">
      <c r="A147" s="109" t="s">
        <v>34</v>
      </c>
      <c r="B147" s="565" t="s">
        <v>177</v>
      </c>
      <c r="C147" s="565"/>
      <c r="D147" s="565"/>
      <c r="E147" s="565"/>
      <c r="F147" s="565"/>
      <c r="G147" s="565"/>
      <c r="H147" s="565"/>
      <c r="I147" s="565"/>
      <c r="J147" s="93">
        <f>J24</f>
        <v>1420.82</v>
      </c>
    </row>
    <row r="148" spans="1:10" ht="20.25" customHeight="1" x14ac:dyDescent="0.3">
      <c r="A148" s="109" t="s">
        <v>36</v>
      </c>
      <c r="B148" s="565" t="s">
        <v>80</v>
      </c>
      <c r="C148" s="565"/>
      <c r="D148" s="565"/>
      <c r="E148" s="565"/>
      <c r="F148" s="565"/>
      <c r="G148" s="565"/>
      <c r="H148" s="565"/>
      <c r="I148" s="565"/>
      <c r="J148" s="93">
        <f>J67</f>
        <v>1285.8599999999999</v>
      </c>
    </row>
    <row r="149" spans="1:10" ht="20.25" customHeight="1" x14ac:dyDescent="0.3">
      <c r="A149" s="109" t="s">
        <v>38</v>
      </c>
      <c r="B149" s="565" t="s">
        <v>178</v>
      </c>
      <c r="C149" s="565"/>
      <c r="D149" s="565"/>
      <c r="E149" s="565"/>
      <c r="F149" s="565"/>
      <c r="G149" s="565"/>
      <c r="H149" s="565"/>
      <c r="I149" s="565"/>
      <c r="J149" s="93">
        <f>J77</f>
        <v>61.342627428240007</v>
      </c>
    </row>
    <row r="150" spans="1:10" ht="20.25" customHeight="1" x14ac:dyDescent="0.3">
      <c r="A150" s="109" t="s">
        <v>40</v>
      </c>
      <c r="B150" s="565" t="s">
        <v>179</v>
      </c>
      <c r="C150" s="565"/>
      <c r="D150" s="565"/>
      <c r="E150" s="565"/>
      <c r="F150" s="565"/>
      <c r="G150" s="565"/>
      <c r="H150" s="565"/>
      <c r="I150" s="565"/>
      <c r="J150" s="93">
        <f>J108</f>
        <v>229.13000000000002</v>
      </c>
    </row>
    <row r="151" spans="1:10" ht="20.25" customHeight="1" x14ac:dyDescent="0.3">
      <c r="A151" s="109" t="s">
        <v>73</v>
      </c>
      <c r="B151" s="565" t="s">
        <v>180</v>
      </c>
      <c r="C151" s="565"/>
      <c r="D151" s="565"/>
      <c r="E151" s="565"/>
      <c r="F151" s="565"/>
      <c r="G151" s="565"/>
      <c r="H151" s="565"/>
      <c r="I151" s="565"/>
      <c r="J151" s="93">
        <f>J116</f>
        <v>43.458713097709477</v>
      </c>
    </row>
    <row r="152" spans="1:10" ht="20.25" customHeight="1" x14ac:dyDescent="0.3">
      <c r="A152" s="572" t="s">
        <v>181</v>
      </c>
      <c r="B152" s="572"/>
      <c r="C152" s="572"/>
      <c r="D152" s="572"/>
      <c r="E152" s="572"/>
      <c r="F152" s="572"/>
      <c r="G152" s="572"/>
      <c r="H152" s="572"/>
      <c r="I152" s="572"/>
      <c r="J152" s="99">
        <f>SUM(J147:J151)</f>
        <v>3040.6113405259493</v>
      </c>
    </row>
    <row r="153" spans="1:10" ht="20.25" customHeight="1" x14ac:dyDescent="0.3">
      <c r="A153" s="109" t="s">
        <v>76</v>
      </c>
      <c r="B153" s="565" t="s">
        <v>182</v>
      </c>
      <c r="C153" s="565"/>
      <c r="D153" s="565"/>
      <c r="E153" s="565"/>
      <c r="F153" s="565"/>
      <c r="G153" s="565"/>
      <c r="H153" s="565"/>
      <c r="I153" s="565"/>
      <c r="J153" s="93">
        <f>J136</f>
        <v>335.35</v>
      </c>
    </row>
    <row r="154" spans="1:10" ht="20.25" customHeight="1" x14ac:dyDescent="0.3">
      <c r="A154" s="566" t="s">
        <v>270</v>
      </c>
      <c r="B154" s="566"/>
      <c r="C154" s="566"/>
      <c r="D154" s="566"/>
      <c r="E154" s="566"/>
      <c r="F154" s="566"/>
      <c r="G154" s="566"/>
      <c r="H154" s="566"/>
      <c r="I154" s="566"/>
      <c r="J154" s="110">
        <f>SUM(J152:J153)</f>
        <v>3375.9613405259493</v>
      </c>
    </row>
    <row r="155" spans="1:10" ht="18.75" customHeight="1" x14ac:dyDescent="0.35">
      <c r="A155" s="567"/>
      <c r="B155" s="567"/>
      <c r="C155" s="567"/>
      <c r="D155" s="567"/>
      <c r="E155" s="567"/>
      <c r="F155" s="567"/>
      <c r="G155" s="567"/>
      <c r="H155" s="567"/>
      <c r="I155" s="567"/>
      <c r="J155" s="567"/>
    </row>
    <row r="156" spans="1:10" ht="20.25" customHeight="1" x14ac:dyDescent="0.3">
      <c r="A156" s="568" t="s">
        <v>188</v>
      </c>
      <c r="B156" s="568"/>
      <c r="C156" s="568"/>
      <c r="D156" s="568"/>
      <c r="E156" s="568"/>
      <c r="F156" s="568"/>
      <c r="G156" s="569">
        <f>J154</f>
        <v>3375.9613405259493</v>
      </c>
      <c r="H156" s="569"/>
      <c r="I156" s="569"/>
      <c r="J156" s="569"/>
    </row>
    <row r="158" spans="1:10" ht="20.25" customHeight="1" x14ac:dyDescent="0.3"/>
    <row r="160" spans="1:10" ht="33" customHeight="1" x14ac:dyDescent="0.3"/>
  </sheetData>
  <mergeCells count="166">
    <mergeCell ref="A1:J1"/>
    <mergeCell ref="A2:J2"/>
    <mergeCell ref="A3:J3"/>
    <mergeCell ref="A4:J4"/>
    <mergeCell ref="A5:J5"/>
    <mergeCell ref="A6:J6"/>
    <mergeCell ref="B7:G7"/>
    <mergeCell ref="H7:J7"/>
    <mergeCell ref="B8:G8"/>
    <mergeCell ref="H8:J8"/>
    <mergeCell ref="B9:G9"/>
    <mergeCell ref="H9:J9"/>
    <mergeCell ref="B10:G10"/>
    <mergeCell ref="H10:J10"/>
    <mergeCell ref="A11:J11"/>
    <mergeCell ref="A12:J12"/>
    <mergeCell ref="A13:J13"/>
    <mergeCell ref="A14:J14"/>
    <mergeCell ref="B15:G15"/>
    <mergeCell ref="H15:J15"/>
    <mergeCell ref="B16:G16"/>
    <mergeCell ref="H16:J16"/>
    <mergeCell ref="B17:G17"/>
    <mergeCell ref="H17:J17"/>
    <mergeCell ref="B18:G18"/>
    <mergeCell ref="H18:J18"/>
    <mergeCell ref="A19:J19"/>
    <mergeCell ref="A20:J20"/>
    <mergeCell ref="B21:I21"/>
    <mergeCell ref="B22:I22"/>
    <mergeCell ref="B23:I23"/>
    <mergeCell ref="A24:I24"/>
    <mergeCell ref="A25:J25"/>
    <mergeCell ref="A26:J26"/>
    <mergeCell ref="A27:J27"/>
    <mergeCell ref="B28:I28"/>
    <mergeCell ref="B29:H29"/>
    <mergeCell ref="B30:H30"/>
    <mergeCell ref="A31:I31"/>
    <mergeCell ref="B32:I32"/>
    <mergeCell ref="A33:I33"/>
    <mergeCell ref="A34:J34"/>
    <mergeCell ref="A35:J35"/>
    <mergeCell ref="B36:H36"/>
    <mergeCell ref="B37:H37"/>
    <mergeCell ref="B38:H38"/>
    <mergeCell ref="B39:D39"/>
    <mergeCell ref="B40:H40"/>
    <mergeCell ref="B41:H41"/>
    <mergeCell ref="B42:H42"/>
    <mergeCell ref="B43:H43"/>
    <mergeCell ref="B44:H44"/>
    <mergeCell ref="A45:H45"/>
    <mergeCell ref="A46:J46"/>
    <mergeCell ref="A47:J47"/>
    <mergeCell ref="B48:I48"/>
    <mergeCell ref="B49:I49"/>
    <mergeCell ref="B50:H50"/>
    <mergeCell ref="B51:H51"/>
    <mergeCell ref="B52:H52"/>
    <mergeCell ref="B53:I53"/>
    <mergeCell ref="B54:H54"/>
    <mergeCell ref="B55:H55"/>
    <mergeCell ref="B56:I56"/>
    <mergeCell ref="B57:I57"/>
    <mergeCell ref="B58:I58"/>
    <mergeCell ref="B59:I59"/>
    <mergeCell ref="A60:I60"/>
    <mergeCell ref="A61:J61"/>
    <mergeCell ref="A62:J62"/>
    <mergeCell ref="B63:I63"/>
    <mergeCell ref="C64:I64"/>
    <mergeCell ref="C65:I65"/>
    <mergeCell ref="C66:I66"/>
    <mergeCell ref="A67:I67"/>
    <mergeCell ref="A68:J68"/>
    <mergeCell ref="A69:J69"/>
    <mergeCell ref="B70:I70"/>
    <mergeCell ref="B71:I71"/>
    <mergeCell ref="B72:I72"/>
    <mergeCell ref="B73:H73"/>
    <mergeCell ref="B74:I74"/>
    <mergeCell ref="B75:I75"/>
    <mergeCell ref="B76:H76"/>
    <mergeCell ref="A77:I77"/>
    <mergeCell ref="A78:J78"/>
    <mergeCell ref="A79:J79"/>
    <mergeCell ref="A80:I80"/>
    <mergeCell ref="A81:J81"/>
    <mergeCell ref="A82:J82"/>
    <mergeCell ref="B83:I83"/>
    <mergeCell ref="B84:H84"/>
    <mergeCell ref="B85:I85"/>
    <mergeCell ref="B86:I86"/>
    <mergeCell ref="B87:I87"/>
    <mergeCell ref="B88:I88"/>
    <mergeCell ref="B89:I89"/>
    <mergeCell ref="A90:I90"/>
    <mergeCell ref="B91:I91"/>
    <mergeCell ref="A92:I92"/>
    <mergeCell ref="A93:J93"/>
    <mergeCell ref="A94:J94"/>
    <mergeCell ref="A95:J95"/>
    <mergeCell ref="B96:I96"/>
    <mergeCell ref="B97:I97"/>
    <mergeCell ref="A98:I98"/>
    <mergeCell ref="B99:I99"/>
    <mergeCell ref="A100:I100"/>
    <mergeCell ref="A101:J101"/>
    <mergeCell ref="A102:J102"/>
    <mergeCell ref="A103:J103"/>
    <mergeCell ref="A104:J104"/>
    <mergeCell ref="B105:I105"/>
    <mergeCell ref="B106:I106"/>
    <mergeCell ref="B107:I107"/>
    <mergeCell ref="A108:I108"/>
    <mergeCell ref="A109:J109"/>
    <mergeCell ref="A110:J110"/>
    <mergeCell ref="B111:I111"/>
    <mergeCell ref="B112:I112"/>
    <mergeCell ref="B113:I113"/>
    <mergeCell ref="B114:I114"/>
    <mergeCell ref="B115:I115"/>
    <mergeCell ref="A116:I116"/>
    <mergeCell ref="A117:J117"/>
    <mergeCell ref="A118:J118"/>
    <mergeCell ref="A119:J119"/>
    <mergeCell ref="A120:J120"/>
    <mergeCell ref="B121:H121"/>
    <mergeCell ref="A122:H122"/>
    <mergeCell ref="B123:H123"/>
    <mergeCell ref="A124:H124"/>
    <mergeCell ref="B125:H125"/>
    <mergeCell ref="A126:H126"/>
    <mergeCell ref="B127:H127"/>
    <mergeCell ref="B128:H128"/>
    <mergeCell ref="B129:H129"/>
    <mergeCell ref="B130:H130"/>
    <mergeCell ref="B131:H131"/>
    <mergeCell ref="B132:H132"/>
    <mergeCell ref="B133:H133"/>
    <mergeCell ref="B134:H134"/>
    <mergeCell ref="B135:H135"/>
    <mergeCell ref="A136:I136"/>
    <mergeCell ref="A137:J137"/>
    <mergeCell ref="A138:H138"/>
    <mergeCell ref="A139:C141"/>
    <mergeCell ref="D139:J139"/>
    <mergeCell ref="D140:J140"/>
    <mergeCell ref="D141:J141"/>
    <mergeCell ref="A142:J142"/>
    <mergeCell ref="A143:J143"/>
    <mergeCell ref="A144:J144"/>
    <mergeCell ref="A145:J145"/>
    <mergeCell ref="A146:I146"/>
    <mergeCell ref="A156:F156"/>
    <mergeCell ref="G156:J156"/>
    <mergeCell ref="B147:I147"/>
    <mergeCell ref="B148:I148"/>
    <mergeCell ref="B149:I149"/>
    <mergeCell ref="B150:I150"/>
    <mergeCell ref="B151:I151"/>
    <mergeCell ref="A152:I152"/>
    <mergeCell ref="B153:I153"/>
    <mergeCell ref="A154:I154"/>
    <mergeCell ref="A155:J155"/>
  </mergeCells>
  <printOptions horizontalCentered="1" verticalCentered="1"/>
  <pageMargins left="0" right="0" top="0" bottom="0.13888888888888901" header="0.511811023622047" footer="0"/>
  <pageSetup paperSize="9" pageOrder="overThenDown" orientation="portrait" useFirstPageNumber="1" horizontalDpi="300" verticalDpi="300"/>
  <headerFooter>
    <oddFooter>&amp;C&amp;10Página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J154"/>
  <sheetViews>
    <sheetView zoomScaleNormal="100" workbookViewId="0"/>
  </sheetViews>
  <sheetFormatPr defaultColWidth="8.83203125" defaultRowHeight="14.5" x14ac:dyDescent="0.3"/>
  <cols>
    <col min="1" max="1" width="9.33203125" style="66" customWidth="1"/>
    <col min="2" max="2" width="9.75" style="66" customWidth="1"/>
    <col min="3" max="7" width="10.33203125" style="66" customWidth="1"/>
    <col min="8" max="8" width="12.83203125" style="66" customWidth="1"/>
    <col min="9" max="9" width="9.75" style="66" customWidth="1"/>
    <col min="10" max="10" width="10.75" style="66" customWidth="1"/>
    <col min="11" max="257" width="10.33203125" style="66" customWidth="1"/>
    <col min="258" max="1024" width="8.83203125" style="66"/>
  </cols>
  <sheetData>
    <row r="1" spans="1:10" ht="20.25" customHeight="1" x14ac:dyDescent="0.3">
      <c r="A1" s="595" t="s">
        <v>290</v>
      </c>
      <c r="B1" s="595"/>
      <c r="C1" s="595"/>
      <c r="D1" s="595"/>
      <c r="E1" s="595"/>
      <c r="F1" s="595"/>
      <c r="G1" s="595"/>
      <c r="H1" s="595"/>
      <c r="I1" s="595"/>
      <c r="J1" s="595"/>
    </row>
    <row r="2" spans="1:10" ht="20.25" customHeight="1" x14ac:dyDescent="0.3">
      <c r="A2" s="596" t="s">
        <v>30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20.25" customHeight="1" x14ac:dyDescent="0.3">
      <c r="A3" s="568" t="s">
        <v>206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ht="20.25" customHeight="1" x14ac:dyDescent="0.3">
      <c r="A4" s="568" t="s">
        <v>207</v>
      </c>
      <c r="B4" s="568"/>
      <c r="C4" s="568"/>
      <c r="D4" s="568"/>
      <c r="E4" s="568"/>
      <c r="F4" s="568"/>
      <c r="G4" s="568"/>
      <c r="H4" s="568"/>
      <c r="I4" s="568"/>
      <c r="J4" s="568"/>
    </row>
    <row r="5" spans="1:10" ht="18.75" customHeight="1" x14ac:dyDescent="0.35">
      <c r="A5" s="567"/>
      <c r="B5" s="567"/>
      <c r="C5" s="567"/>
      <c r="D5" s="567"/>
      <c r="E5" s="567"/>
      <c r="F5" s="567"/>
      <c r="G5" s="567"/>
      <c r="H5" s="567"/>
      <c r="I5" s="567"/>
      <c r="J5" s="567"/>
    </row>
    <row r="6" spans="1:10" ht="20.25" customHeight="1" x14ac:dyDescent="0.3">
      <c r="A6" s="570" t="s">
        <v>33</v>
      </c>
      <c r="B6" s="570"/>
      <c r="C6" s="570"/>
      <c r="D6" s="570"/>
      <c r="E6" s="570"/>
      <c r="F6" s="570"/>
      <c r="G6" s="570"/>
      <c r="H6" s="570"/>
      <c r="I6" s="570"/>
      <c r="J6" s="570"/>
    </row>
    <row r="7" spans="1:10" ht="20.25" customHeight="1" x14ac:dyDescent="0.35">
      <c r="A7" s="67" t="s">
        <v>34</v>
      </c>
      <c r="B7" s="568" t="s">
        <v>35</v>
      </c>
      <c r="C7" s="568"/>
      <c r="D7" s="568"/>
      <c r="E7" s="568"/>
      <c r="F7" s="568"/>
      <c r="G7" s="568"/>
      <c r="H7" s="597" t="s">
        <v>164</v>
      </c>
      <c r="I7" s="597"/>
      <c r="J7" s="597"/>
    </row>
    <row r="8" spans="1:10" ht="20.25" customHeight="1" x14ac:dyDescent="0.3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  <c r="J8" s="593"/>
    </row>
    <row r="9" spans="1:10" ht="20.25" customHeight="1" x14ac:dyDescent="0.3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208</v>
      </c>
      <c r="I9" s="593"/>
      <c r="J9" s="593"/>
    </row>
    <row r="10" spans="1:10" ht="20.25" customHeight="1" x14ac:dyDescent="0.3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  <c r="J10" s="594"/>
    </row>
    <row r="11" spans="1:10" ht="18.75" customHeight="1" x14ac:dyDescent="0.35">
      <c r="A11" s="567"/>
      <c r="B11" s="567"/>
      <c r="C11" s="567"/>
      <c r="D11" s="567"/>
      <c r="E11" s="567"/>
      <c r="F11" s="567"/>
      <c r="G11" s="567"/>
      <c r="H11" s="567"/>
      <c r="I11" s="567"/>
      <c r="J11" s="567"/>
    </row>
    <row r="12" spans="1:10" ht="50.25" customHeight="1" x14ac:dyDescent="0.3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  <c r="J12" s="570"/>
    </row>
    <row r="13" spans="1:10" ht="18.75" customHeight="1" x14ac:dyDescent="0.35">
      <c r="A13" s="567"/>
      <c r="B13" s="567"/>
      <c r="C13" s="567"/>
      <c r="D13" s="567"/>
      <c r="E13" s="567"/>
      <c r="F13" s="567"/>
      <c r="G13" s="567"/>
      <c r="H13" s="567"/>
      <c r="I13" s="567"/>
      <c r="J13" s="567"/>
    </row>
    <row r="14" spans="1:10" ht="20.25" customHeight="1" x14ac:dyDescent="0.3">
      <c r="A14" s="586" t="s">
        <v>47</v>
      </c>
      <c r="B14" s="586"/>
      <c r="C14" s="586"/>
      <c r="D14" s="586"/>
      <c r="E14" s="586"/>
      <c r="F14" s="586"/>
      <c r="G14" s="586"/>
      <c r="H14" s="586"/>
      <c r="I14" s="586"/>
      <c r="J14" s="586"/>
    </row>
    <row r="15" spans="1:10" ht="20.25" customHeight="1" x14ac:dyDescent="0.3">
      <c r="A15" s="67">
        <v>1</v>
      </c>
      <c r="B15" s="568" t="s">
        <v>48</v>
      </c>
      <c r="C15" s="568"/>
      <c r="D15" s="568"/>
      <c r="E15" s="568"/>
      <c r="F15" s="568"/>
      <c r="G15" s="568"/>
      <c r="H15" s="575" t="s">
        <v>291</v>
      </c>
      <c r="I15" s="575"/>
      <c r="J15" s="575"/>
    </row>
    <row r="16" spans="1:10" ht="20.25" customHeight="1" x14ac:dyDescent="0.3">
      <c r="A16" s="67">
        <v>2</v>
      </c>
      <c r="B16" s="568" t="s">
        <v>49</v>
      </c>
      <c r="C16" s="568"/>
      <c r="D16" s="568"/>
      <c r="E16" s="568"/>
      <c r="F16" s="568"/>
      <c r="G16" s="568"/>
      <c r="H16" s="575">
        <v>5134</v>
      </c>
      <c r="I16" s="575"/>
      <c r="J16" s="575"/>
    </row>
    <row r="17" spans="1:10" ht="20.25" customHeight="1" x14ac:dyDescent="0.3">
      <c r="A17" s="67">
        <v>3</v>
      </c>
      <c r="B17" s="568" t="s">
        <v>285</v>
      </c>
      <c r="C17" s="568"/>
      <c r="D17" s="568"/>
      <c r="E17" s="568"/>
      <c r="F17" s="568"/>
      <c r="G17" s="568"/>
      <c r="H17" s="591">
        <v>1096.3499999999999</v>
      </c>
      <c r="I17" s="591"/>
      <c r="J17" s="591"/>
    </row>
    <row r="18" spans="1:10" ht="20.25" customHeight="1" x14ac:dyDescent="0.3">
      <c r="A18" s="67">
        <v>4</v>
      </c>
      <c r="B18" s="568" t="s">
        <v>51</v>
      </c>
      <c r="C18" s="568"/>
      <c r="D18" s="568"/>
      <c r="E18" s="568"/>
      <c r="F18" s="568"/>
      <c r="G18" s="568"/>
      <c r="H18" s="575" t="s">
        <v>291</v>
      </c>
      <c r="I18" s="575"/>
      <c r="J18" s="575"/>
    </row>
    <row r="19" spans="1:10" ht="20.25" customHeight="1" x14ac:dyDescent="0.3">
      <c r="A19" s="67">
        <v>5</v>
      </c>
      <c r="B19" s="568" t="s">
        <v>52</v>
      </c>
      <c r="C19" s="568"/>
      <c r="D19" s="568"/>
      <c r="E19" s="568"/>
      <c r="F19" s="568"/>
      <c r="G19" s="568"/>
      <c r="H19" s="592">
        <v>43831</v>
      </c>
      <c r="I19" s="592"/>
      <c r="J19" s="592"/>
    </row>
    <row r="20" spans="1:10" ht="18.75" customHeight="1" x14ac:dyDescent="0.35">
      <c r="A20" s="567"/>
      <c r="B20" s="567"/>
      <c r="C20" s="567"/>
      <c r="D20" s="567"/>
      <c r="E20" s="567"/>
      <c r="F20" s="567"/>
      <c r="G20" s="567"/>
      <c r="H20" s="567"/>
      <c r="I20" s="567"/>
      <c r="J20" s="567"/>
    </row>
    <row r="21" spans="1:10" ht="20.25" customHeight="1" x14ac:dyDescent="0.3">
      <c r="A21" s="577" t="s">
        <v>214</v>
      </c>
      <c r="B21" s="577"/>
      <c r="C21" s="577"/>
      <c r="D21" s="577"/>
      <c r="E21" s="577"/>
      <c r="F21" s="577"/>
      <c r="G21" s="577"/>
      <c r="H21" s="577"/>
      <c r="I21" s="577"/>
      <c r="J21" s="577"/>
    </row>
    <row r="22" spans="1:10" ht="19.5" customHeight="1" x14ac:dyDescent="0.3">
      <c r="A22" s="70">
        <v>1</v>
      </c>
      <c r="B22" s="579" t="s">
        <v>65</v>
      </c>
      <c r="C22" s="579"/>
      <c r="D22" s="579"/>
      <c r="E22" s="579"/>
      <c r="F22" s="579"/>
      <c r="G22" s="579"/>
      <c r="H22" s="579"/>
      <c r="I22" s="579"/>
      <c r="J22" s="70" t="s">
        <v>85</v>
      </c>
    </row>
    <row r="23" spans="1:10" ht="20.25" customHeight="1" x14ac:dyDescent="0.3">
      <c r="A23" s="67" t="s">
        <v>34</v>
      </c>
      <c r="B23" s="568" t="s">
        <v>292</v>
      </c>
      <c r="C23" s="568"/>
      <c r="D23" s="568"/>
      <c r="E23" s="568"/>
      <c r="F23" s="568"/>
      <c r="G23" s="568"/>
      <c r="H23" s="568"/>
      <c r="I23" s="568"/>
      <c r="J23" s="71">
        <f>H17</f>
        <v>1096.3499999999999</v>
      </c>
    </row>
    <row r="24" spans="1:10" ht="20.25" customHeight="1" x14ac:dyDescent="0.3">
      <c r="A24" s="67" t="s">
        <v>36</v>
      </c>
      <c r="B24" s="568" t="s">
        <v>74</v>
      </c>
      <c r="C24" s="568"/>
      <c r="D24" s="568"/>
      <c r="E24" s="568"/>
      <c r="F24" s="568"/>
      <c r="G24" s="568"/>
      <c r="H24" s="568"/>
      <c r="I24" s="568"/>
      <c r="J24" s="72"/>
    </row>
    <row r="25" spans="1:10" ht="20.25" customHeight="1" x14ac:dyDescent="0.3">
      <c r="A25" s="580" t="s">
        <v>75</v>
      </c>
      <c r="B25" s="580"/>
      <c r="C25" s="580"/>
      <c r="D25" s="580"/>
      <c r="E25" s="580"/>
      <c r="F25" s="580"/>
      <c r="G25" s="580"/>
      <c r="H25" s="580"/>
      <c r="I25" s="580"/>
      <c r="J25" s="73">
        <f>SUM(J23:J24)</f>
        <v>1096.3499999999999</v>
      </c>
    </row>
    <row r="26" spans="1:10" ht="18.75" customHeight="1" x14ac:dyDescent="0.35">
      <c r="A26" s="567"/>
      <c r="B26" s="567"/>
      <c r="C26" s="567"/>
      <c r="D26" s="567"/>
      <c r="E26" s="567"/>
      <c r="F26" s="567"/>
      <c r="G26" s="567"/>
      <c r="H26" s="567"/>
      <c r="I26" s="567"/>
      <c r="J26" s="567"/>
    </row>
    <row r="27" spans="1:10" ht="20.25" customHeight="1" x14ac:dyDescent="0.3">
      <c r="A27" s="577" t="s">
        <v>216</v>
      </c>
      <c r="B27" s="577"/>
      <c r="C27" s="577"/>
      <c r="D27" s="577"/>
      <c r="E27" s="577"/>
      <c r="F27" s="577"/>
      <c r="G27" s="577"/>
      <c r="H27" s="577"/>
      <c r="I27" s="577"/>
      <c r="J27" s="577"/>
    </row>
    <row r="28" spans="1:10" ht="20.25" customHeight="1" x14ac:dyDescent="0.3">
      <c r="A28" s="587" t="s">
        <v>217</v>
      </c>
      <c r="B28" s="587"/>
      <c r="C28" s="587"/>
      <c r="D28" s="587"/>
      <c r="E28" s="587"/>
      <c r="F28" s="587"/>
      <c r="G28" s="587"/>
      <c r="H28" s="587"/>
      <c r="I28" s="587"/>
      <c r="J28" s="587"/>
    </row>
    <row r="29" spans="1:10" ht="20.25" customHeight="1" x14ac:dyDescent="0.3">
      <c r="A29" s="74" t="s">
        <v>82</v>
      </c>
      <c r="B29" s="590" t="s">
        <v>118</v>
      </c>
      <c r="C29" s="590"/>
      <c r="D29" s="590"/>
      <c r="E29" s="590"/>
      <c r="F29" s="590"/>
      <c r="G29" s="590"/>
      <c r="H29" s="590"/>
      <c r="I29" s="590"/>
      <c r="J29" s="75" t="s">
        <v>85</v>
      </c>
    </row>
    <row r="30" spans="1:10" ht="36.75" customHeight="1" x14ac:dyDescent="0.3">
      <c r="A30" s="76" t="s">
        <v>34</v>
      </c>
      <c r="B30" s="568" t="s">
        <v>293</v>
      </c>
      <c r="C30" s="568"/>
      <c r="D30" s="568"/>
      <c r="E30" s="568"/>
      <c r="F30" s="568"/>
      <c r="G30" s="568"/>
      <c r="H30" s="568"/>
      <c r="I30" s="77">
        <v>8.3299999999999999E-2</v>
      </c>
      <c r="J30" s="78">
        <f>ROUND($J$25*I30,2)</f>
        <v>91.33</v>
      </c>
    </row>
    <row r="31" spans="1:10" ht="18.75" customHeight="1" x14ac:dyDescent="0.3">
      <c r="A31" s="76" t="s">
        <v>36</v>
      </c>
      <c r="B31" s="589" t="s">
        <v>87</v>
      </c>
      <c r="C31" s="589"/>
      <c r="D31" s="589"/>
      <c r="E31" s="589"/>
      <c r="F31" s="589"/>
      <c r="G31" s="589"/>
      <c r="H31" s="589"/>
      <c r="I31" s="79">
        <v>3.0249999999999999E-2</v>
      </c>
      <c r="J31" s="78">
        <f>ROUND($J$25*I31,2)</f>
        <v>33.159999999999997</v>
      </c>
    </row>
    <row r="32" spans="1:10" ht="18.75" customHeight="1" x14ac:dyDescent="0.3">
      <c r="A32" s="574" t="s">
        <v>75</v>
      </c>
      <c r="B32" s="574"/>
      <c r="C32" s="574"/>
      <c r="D32" s="574"/>
      <c r="E32" s="574"/>
      <c r="F32" s="574"/>
      <c r="G32" s="574"/>
      <c r="H32" s="574"/>
      <c r="I32" s="574"/>
      <c r="J32" s="80">
        <f>SUM(J30+J31)</f>
        <v>124.49</v>
      </c>
    </row>
    <row r="33" spans="1:13" ht="18.75" customHeight="1" x14ac:dyDescent="0.35">
      <c r="A33" s="76" t="s">
        <v>38</v>
      </c>
      <c r="B33" s="573" t="s">
        <v>219</v>
      </c>
      <c r="C33" s="573"/>
      <c r="D33" s="573"/>
      <c r="E33" s="573"/>
      <c r="F33" s="573"/>
      <c r="G33" s="573"/>
      <c r="H33" s="573"/>
      <c r="I33" s="573"/>
      <c r="J33" s="81">
        <f>ROUND(I46*J32,2)</f>
        <v>44.54</v>
      </c>
      <c r="M33" s="82"/>
    </row>
    <row r="34" spans="1:13" ht="18.75" customHeight="1" x14ac:dyDescent="0.3">
      <c r="A34" s="574" t="s">
        <v>75</v>
      </c>
      <c r="B34" s="574"/>
      <c r="C34" s="574"/>
      <c r="D34" s="574"/>
      <c r="E34" s="574"/>
      <c r="F34" s="574"/>
      <c r="G34" s="574"/>
      <c r="H34" s="574"/>
      <c r="I34" s="574"/>
      <c r="J34" s="83">
        <f>J32+J33</f>
        <v>169.03</v>
      </c>
    </row>
    <row r="35" spans="1:13" ht="18.75" customHeight="1" x14ac:dyDescent="0.35">
      <c r="A35" s="567"/>
      <c r="B35" s="567"/>
      <c r="C35" s="567"/>
      <c r="D35" s="567"/>
      <c r="E35" s="567"/>
      <c r="F35" s="567"/>
      <c r="G35" s="567"/>
      <c r="H35" s="567"/>
      <c r="I35" s="567"/>
      <c r="J35" s="567"/>
    </row>
    <row r="36" spans="1:13" ht="18.75" customHeight="1" x14ac:dyDescent="0.3">
      <c r="A36" s="587" t="s">
        <v>220</v>
      </c>
      <c r="B36" s="587"/>
      <c r="C36" s="587"/>
      <c r="D36" s="587"/>
      <c r="E36" s="587"/>
      <c r="F36" s="587"/>
      <c r="G36" s="587"/>
      <c r="H36" s="587"/>
      <c r="I36" s="587"/>
      <c r="J36" s="587"/>
    </row>
    <row r="37" spans="1:13" ht="20.25" customHeight="1" x14ac:dyDescent="0.3">
      <c r="A37" s="74" t="s">
        <v>89</v>
      </c>
      <c r="B37" s="582" t="s">
        <v>90</v>
      </c>
      <c r="C37" s="582"/>
      <c r="D37" s="582"/>
      <c r="E37" s="582"/>
      <c r="F37" s="582"/>
      <c r="G37" s="582"/>
      <c r="H37" s="582"/>
      <c r="I37" s="75" t="s">
        <v>221</v>
      </c>
      <c r="J37" s="75" t="s">
        <v>85</v>
      </c>
    </row>
    <row r="38" spans="1:13" ht="18.75" customHeight="1" x14ac:dyDescent="0.3">
      <c r="A38" s="76" t="s">
        <v>34</v>
      </c>
      <c r="B38" s="573" t="s">
        <v>91</v>
      </c>
      <c r="C38" s="573"/>
      <c r="D38" s="573"/>
      <c r="E38" s="573"/>
      <c r="F38" s="573"/>
      <c r="G38" s="573"/>
      <c r="H38" s="573"/>
      <c r="I38" s="84">
        <v>0.2</v>
      </c>
      <c r="J38" s="81">
        <f t="shared" ref="J38:J45" si="0">ROUND($J$25*I38,2)</f>
        <v>219.27</v>
      </c>
    </row>
    <row r="39" spans="1:13" ht="18.75" customHeight="1" x14ac:dyDescent="0.3">
      <c r="A39" s="76" t="s">
        <v>36</v>
      </c>
      <c r="B39" s="573" t="s">
        <v>92</v>
      </c>
      <c r="C39" s="573"/>
      <c r="D39" s="573"/>
      <c r="E39" s="573"/>
      <c r="F39" s="573"/>
      <c r="G39" s="573"/>
      <c r="H39" s="573"/>
      <c r="I39" s="84">
        <v>2.5000000000000001E-2</v>
      </c>
      <c r="J39" s="81">
        <f t="shared" si="0"/>
        <v>27.41</v>
      </c>
    </row>
    <row r="40" spans="1:13" ht="50.25" customHeight="1" x14ac:dyDescent="0.3">
      <c r="A40" s="76" t="s">
        <v>38</v>
      </c>
      <c r="B40" s="568" t="s">
        <v>289</v>
      </c>
      <c r="C40" s="568"/>
      <c r="D40" s="568"/>
      <c r="E40" s="67" t="s">
        <v>94</v>
      </c>
      <c r="F40" s="85">
        <v>0.02</v>
      </c>
      <c r="G40" s="67" t="s">
        <v>95</v>
      </c>
      <c r="H40" s="86">
        <v>0.99</v>
      </c>
      <c r="I40" s="87">
        <f>ROUND((F40*H40),6)</f>
        <v>1.9800000000000002E-2</v>
      </c>
      <c r="J40" s="81">
        <f t="shared" si="0"/>
        <v>21.71</v>
      </c>
    </row>
    <row r="41" spans="1:13" ht="18.75" customHeight="1" x14ac:dyDescent="0.3">
      <c r="A41" s="76" t="s">
        <v>40</v>
      </c>
      <c r="B41" s="573" t="s">
        <v>96</v>
      </c>
      <c r="C41" s="573"/>
      <c r="D41" s="573"/>
      <c r="E41" s="573"/>
      <c r="F41" s="573"/>
      <c r="G41" s="573"/>
      <c r="H41" s="573"/>
      <c r="I41" s="84">
        <v>1.4999999999999999E-2</v>
      </c>
      <c r="J41" s="81">
        <f t="shared" si="0"/>
        <v>16.45</v>
      </c>
    </row>
    <row r="42" spans="1:13" ht="18.75" customHeight="1" x14ac:dyDescent="0.3">
      <c r="A42" s="76" t="s">
        <v>73</v>
      </c>
      <c r="B42" s="573" t="s">
        <v>97</v>
      </c>
      <c r="C42" s="573"/>
      <c r="D42" s="573"/>
      <c r="E42" s="573"/>
      <c r="F42" s="573"/>
      <c r="G42" s="573"/>
      <c r="H42" s="573"/>
      <c r="I42" s="84">
        <v>0.01</v>
      </c>
      <c r="J42" s="81">
        <f t="shared" si="0"/>
        <v>10.96</v>
      </c>
    </row>
    <row r="43" spans="1:13" ht="18.75" customHeight="1" x14ac:dyDescent="0.3">
      <c r="A43" s="76" t="s">
        <v>76</v>
      </c>
      <c r="B43" s="573" t="s">
        <v>98</v>
      </c>
      <c r="C43" s="573"/>
      <c r="D43" s="573"/>
      <c r="E43" s="573"/>
      <c r="F43" s="573"/>
      <c r="G43" s="573"/>
      <c r="H43" s="573"/>
      <c r="I43" s="84">
        <v>6.0000000000000001E-3</v>
      </c>
      <c r="J43" s="81">
        <f t="shared" si="0"/>
        <v>6.58</v>
      </c>
    </row>
    <row r="44" spans="1:13" ht="18.75" customHeight="1" x14ac:dyDescent="0.3">
      <c r="A44" s="76" t="s">
        <v>99</v>
      </c>
      <c r="B44" s="573" t="s">
        <v>100</v>
      </c>
      <c r="C44" s="573"/>
      <c r="D44" s="573"/>
      <c r="E44" s="573"/>
      <c r="F44" s="573"/>
      <c r="G44" s="573"/>
      <c r="H44" s="573"/>
      <c r="I44" s="84">
        <v>2E-3</v>
      </c>
      <c r="J44" s="81">
        <f t="shared" si="0"/>
        <v>2.19</v>
      </c>
    </row>
    <row r="45" spans="1:13" ht="18.75" customHeight="1" x14ac:dyDescent="0.3">
      <c r="A45" s="76" t="s">
        <v>101</v>
      </c>
      <c r="B45" s="573" t="s">
        <v>102</v>
      </c>
      <c r="C45" s="573"/>
      <c r="D45" s="573"/>
      <c r="E45" s="573"/>
      <c r="F45" s="573"/>
      <c r="G45" s="573"/>
      <c r="H45" s="573"/>
      <c r="I45" s="84">
        <v>0.08</v>
      </c>
      <c r="J45" s="81">
        <f t="shared" si="0"/>
        <v>87.71</v>
      </c>
    </row>
    <row r="46" spans="1:13" ht="18.75" customHeight="1" x14ac:dyDescent="0.3">
      <c r="A46" s="574" t="s">
        <v>75</v>
      </c>
      <c r="B46" s="574"/>
      <c r="C46" s="574"/>
      <c r="D46" s="574"/>
      <c r="E46" s="574"/>
      <c r="F46" s="574"/>
      <c r="G46" s="574"/>
      <c r="H46" s="574"/>
      <c r="I46" s="88">
        <f>SUM(I38:I45)</f>
        <v>0.35780000000000006</v>
      </c>
      <c r="J46" s="83">
        <f>SUM(J38:J45)</f>
        <v>392.27999999999992</v>
      </c>
    </row>
    <row r="47" spans="1:13" ht="18.75" customHeight="1" x14ac:dyDescent="0.35">
      <c r="A47" s="567"/>
      <c r="B47" s="567"/>
      <c r="C47" s="567"/>
      <c r="D47" s="567"/>
      <c r="E47" s="567"/>
      <c r="F47" s="567"/>
      <c r="G47" s="567"/>
      <c r="H47" s="567"/>
      <c r="I47" s="567"/>
      <c r="J47" s="567"/>
    </row>
    <row r="48" spans="1:13" ht="18.75" customHeight="1" x14ac:dyDescent="0.3">
      <c r="A48" s="587" t="s">
        <v>103</v>
      </c>
      <c r="B48" s="587"/>
      <c r="C48" s="587"/>
      <c r="D48" s="587"/>
      <c r="E48" s="587"/>
      <c r="F48" s="587"/>
      <c r="G48" s="587"/>
      <c r="H48" s="587"/>
      <c r="I48" s="587"/>
      <c r="J48" s="587"/>
    </row>
    <row r="49" spans="1:10" ht="20.25" customHeight="1" x14ac:dyDescent="0.3">
      <c r="A49" s="74" t="s">
        <v>104</v>
      </c>
      <c r="B49" s="582" t="s">
        <v>105</v>
      </c>
      <c r="C49" s="582"/>
      <c r="D49" s="582"/>
      <c r="E49" s="582"/>
      <c r="F49" s="582"/>
      <c r="G49" s="582"/>
      <c r="H49" s="582"/>
      <c r="I49" s="582"/>
      <c r="J49" s="75" t="s">
        <v>85</v>
      </c>
    </row>
    <row r="50" spans="1:10" ht="30.75" customHeight="1" x14ac:dyDescent="0.3">
      <c r="A50" s="76" t="s">
        <v>34</v>
      </c>
      <c r="B50" s="568" t="s">
        <v>223</v>
      </c>
      <c r="C50" s="568"/>
      <c r="D50" s="568"/>
      <c r="E50" s="568"/>
      <c r="F50" s="568"/>
      <c r="G50" s="568"/>
      <c r="H50" s="568"/>
      <c r="I50" s="568"/>
      <c r="J50" s="81">
        <f>IF(ROUND((I53*I51*I52)-(J23*0.06),2)&lt;0,0,ROUND((I53*I51*I52)-(J23*0.06),2))*1+(I51*I52*21.726-0.06*J23)*0</f>
        <v>92.62</v>
      </c>
    </row>
    <row r="51" spans="1:10" ht="18.75" customHeight="1" x14ac:dyDescent="0.3">
      <c r="A51" s="76"/>
      <c r="B51" s="573" t="s">
        <v>224</v>
      </c>
      <c r="C51" s="573"/>
      <c r="D51" s="573"/>
      <c r="E51" s="573"/>
      <c r="F51" s="573"/>
      <c r="G51" s="573"/>
      <c r="H51" s="573"/>
      <c r="I51" s="89">
        <v>3.6</v>
      </c>
      <c r="J51" s="90" t="s">
        <v>164</v>
      </c>
    </row>
    <row r="52" spans="1:10" ht="18.75" customHeight="1" x14ac:dyDescent="0.3">
      <c r="A52" s="76"/>
      <c r="B52" s="573" t="s">
        <v>225</v>
      </c>
      <c r="C52" s="573"/>
      <c r="D52" s="573"/>
      <c r="E52" s="573"/>
      <c r="F52" s="573"/>
      <c r="G52" s="573"/>
      <c r="H52" s="573"/>
      <c r="I52" s="91">
        <v>2</v>
      </c>
      <c r="J52" s="90"/>
    </row>
    <row r="53" spans="1:10" ht="18.75" customHeight="1" x14ac:dyDescent="0.3">
      <c r="A53" s="76"/>
      <c r="B53" s="573" t="s">
        <v>226</v>
      </c>
      <c r="C53" s="573"/>
      <c r="D53" s="573"/>
      <c r="E53" s="573"/>
      <c r="F53" s="573"/>
      <c r="G53" s="573"/>
      <c r="H53" s="573"/>
      <c r="I53" s="92">
        <v>22</v>
      </c>
      <c r="J53" s="90"/>
    </row>
    <row r="54" spans="1:10" ht="30.75" customHeight="1" x14ac:dyDescent="0.3">
      <c r="A54" s="76" t="s">
        <v>36</v>
      </c>
      <c r="B54" s="568" t="s">
        <v>227</v>
      </c>
      <c r="C54" s="568"/>
      <c r="D54" s="568"/>
      <c r="E54" s="568"/>
      <c r="F54" s="568"/>
      <c r="G54" s="568"/>
      <c r="H54" s="568"/>
      <c r="I54" s="568"/>
      <c r="J54" s="81">
        <f>ROUND(I56*I55*(1-0.01),2)*1+ROUND(21.726*6*(1-0.01),2)*0</f>
        <v>435.6</v>
      </c>
    </row>
    <row r="55" spans="1:10" ht="18.75" customHeight="1" x14ac:dyDescent="0.3">
      <c r="A55" s="76"/>
      <c r="B55" s="573" t="s">
        <v>228</v>
      </c>
      <c r="C55" s="573"/>
      <c r="D55" s="573"/>
      <c r="E55" s="573"/>
      <c r="F55" s="573"/>
      <c r="G55" s="573"/>
      <c r="H55" s="573"/>
      <c r="I55" s="89">
        <v>20</v>
      </c>
      <c r="J55" s="90" t="s">
        <v>164</v>
      </c>
    </row>
    <row r="56" spans="1:10" ht="18.75" customHeight="1" x14ac:dyDescent="0.3">
      <c r="A56" s="113"/>
      <c r="B56" s="573" t="s">
        <v>229</v>
      </c>
      <c r="C56" s="573"/>
      <c r="D56" s="573"/>
      <c r="E56" s="573"/>
      <c r="F56" s="573"/>
      <c r="G56" s="573"/>
      <c r="H56" s="573"/>
      <c r="I56" s="92">
        <v>22</v>
      </c>
      <c r="J56" s="90"/>
    </row>
    <row r="57" spans="1:10" ht="19.5" customHeight="1" x14ac:dyDescent="0.3">
      <c r="A57" s="76" t="s">
        <v>38</v>
      </c>
      <c r="B57" s="568" t="s">
        <v>230</v>
      </c>
      <c r="C57" s="568"/>
      <c r="D57" s="568"/>
      <c r="E57" s="568"/>
      <c r="F57" s="568"/>
      <c r="G57" s="568"/>
      <c r="H57" s="568"/>
      <c r="I57" s="568"/>
      <c r="J57" s="112"/>
    </row>
    <row r="58" spans="1:10" ht="19.5" customHeight="1" x14ac:dyDescent="0.3">
      <c r="A58" s="76" t="s">
        <v>40</v>
      </c>
      <c r="B58" s="568" t="s">
        <v>231</v>
      </c>
      <c r="C58" s="568"/>
      <c r="D58" s="568"/>
      <c r="E58" s="568"/>
      <c r="F58" s="568"/>
      <c r="G58" s="568"/>
      <c r="H58" s="568"/>
      <c r="I58" s="568"/>
      <c r="J58" s="81">
        <v>0.25</v>
      </c>
    </row>
    <row r="59" spans="1:10" ht="19.5" customHeight="1" x14ac:dyDescent="0.3">
      <c r="A59" s="76" t="s">
        <v>73</v>
      </c>
      <c r="B59" s="568" t="s">
        <v>232</v>
      </c>
      <c r="C59" s="568"/>
      <c r="D59" s="568"/>
      <c r="E59" s="568"/>
      <c r="F59" s="568"/>
      <c r="G59" s="568"/>
      <c r="H59" s="568"/>
      <c r="I59" s="568"/>
      <c r="J59" s="93">
        <v>75</v>
      </c>
    </row>
    <row r="60" spans="1:10" ht="19.5" customHeight="1" x14ac:dyDescent="0.3">
      <c r="A60" s="76" t="s">
        <v>76</v>
      </c>
      <c r="B60" s="573" t="s">
        <v>233</v>
      </c>
      <c r="C60" s="573"/>
      <c r="D60" s="573"/>
      <c r="E60" s="573"/>
      <c r="F60" s="573"/>
      <c r="G60" s="573"/>
      <c r="H60" s="573"/>
      <c r="I60" s="573"/>
      <c r="J60" s="93">
        <v>1.35</v>
      </c>
    </row>
    <row r="61" spans="1:10" ht="18.75" customHeight="1" x14ac:dyDescent="0.3">
      <c r="A61" s="574" t="s">
        <v>75</v>
      </c>
      <c r="B61" s="574"/>
      <c r="C61" s="574"/>
      <c r="D61" s="574"/>
      <c r="E61" s="574"/>
      <c r="F61" s="574"/>
      <c r="G61" s="574"/>
      <c r="H61" s="574"/>
      <c r="I61" s="574"/>
      <c r="J61" s="83">
        <f>SUM(J50:J60)</f>
        <v>604.82000000000005</v>
      </c>
    </row>
    <row r="62" spans="1:10" ht="18.75" customHeight="1" x14ac:dyDescent="0.35">
      <c r="A62" s="567"/>
      <c r="B62" s="567"/>
      <c r="C62" s="567"/>
      <c r="D62" s="567"/>
      <c r="E62" s="567"/>
      <c r="F62" s="567"/>
      <c r="G62" s="567"/>
      <c r="H62" s="567"/>
      <c r="I62" s="567"/>
      <c r="J62" s="567"/>
    </row>
    <row r="63" spans="1:10" ht="18.75" customHeight="1" x14ac:dyDescent="0.3">
      <c r="A63" s="587" t="s">
        <v>234</v>
      </c>
      <c r="B63" s="587"/>
      <c r="C63" s="587"/>
      <c r="D63" s="587"/>
      <c r="E63" s="587"/>
      <c r="F63" s="587"/>
      <c r="G63" s="587"/>
      <c r="H63" s="587"/>
      <c r="I63" s="587"/>
      <c r="J63" s="587"/>
    </row>
    <row r="64" spans="1:10" ht="20.25" customHeight="1" x14ac:dyDescent="0.3">
      <c r="A64" s="70">
        <v>2</v>
      </c>
      <c r="B64" s="579" t="s">
        <v>117</v>
      </c>
      <c r="C64" s="579"/>
      <c r="D64" s="579"/>
      <c r="E64" s="579"/>
      <c r="F64" s="579"/>
      <c r="G64" s="579"/>
      <c r="H64" s="579"/>
      <c r="I64" s="579"/>
      <c r="J64" s="70" t="s">
        <v>85</v>
      </c>
    </row>
    <row r="65" spans="1:11" ht="20.25" customHeight="1" x14ac:dyDescent="0.3">
      <c r="A65" s="67" t="s">
        <v>82</v>
      </c>
      <c r="B65" s="67"/>
      <c r="C65" s="568" t="s">
        <v>118</v>
      </c>
      <c r="D65" s="568"/>
      <c r="E65" s="568"/>
      <c r="F65" s="568"/>
      <c r="G65" s="568"/>
      <c r="H65" s="568"/>
      <c r="I65" s="568"/>
      <c r="J65" s="94">
        <f>J34</f>
        <v>169.03</v>
      </c>
    </row>
    <row r="66" spans="1:11" ht="20.25" customHeight="1" x14ac:dyDescent="0.3">
      <c r="A66" s="67" t="s">
        <v>89</v>
      </c>
      <c r="B66" s="67"/>
      <c r="C66" s="568" t="s">
        <v>90</v>
      </c>
      <c r="D66" s="568"/>
      <c r="E66" s="568"/>
      <c r="F66" s="568"/>
      <c r="G66" s="568"/>
      <c r="H66" s="568"/>
      <c r="I66" s="568"/>
      <c r="J66" s="94">
        <f>J46</f>
        <v>392.27999999999992</v>
      </c>
    </row>
    <row r="67" spans="1:11" ht="20.25" customHeight="1" x14ac:dyDescent="0.3">
      <c r="A67" s="67" t="s">
        <v>104</v>
      </c>
      <c r="B67" s="67"/>
      <c r="C67" s="568" t="s">
        <v>105</v>
      </c>
      <c r="D67" s="568"/>
      <c r="E67" s="568"/>
      <c r="F67" s="568"/>
      <c r="G67" s="568"/>
      <c r="H67" s="568"/>
      <c r="I67" s="568"/>
      <c r="J67" s="94">
        <f>J61</f>
        <v>604.82000000000005</v>
      </c>
    </row>
    <row r="68" spans="1:11" ht="20.25" customHeight="1" x14ac:dyDescent="0.3">
      <c r="A68" s="580" t="s">
        <v>75</v>
      </c>
      <c r="B68" s="580"/>
      <c r="C68" s="580"/>
      <c r="D68" s="580"/>
      <c r="E68" s="580"/>
      <c r="F68" s="580"/>
      <c r="G68" s="580"/>
      <c r="H68" s="580"/>
      <c r="I68" s="580"/>
      <c r="J68" s="95">
        <f>SUM(J65+J66+J67)</f>
        <v>1166.1300000000001</v>
      </c>
    </row>
    <row r="69" spans="1:11" ht="18.75" customHeight="1" x14ac:dyDescent="0.35">
      <c r="A69" s="567"/>
      <c r="B69" s="567"/>
      <c r="C69" s="567"/>
      <c r="D69" s="567"/>
      <c r="E69" s="567"/>
      <c r="F69" s="567"/>
      <c r="G69" s="567"/>
      <c r="H69" s="567"/>
      <c r="I69" s="567"/>
      <c r="J69" s="567"/>
    </row>
    <row r="70" spans="1:11" ht="20.25" customHeight="1" x14ac:dyDescent="0.3">
      <c r="A70" s="577" t="s">
        <v>235</v>
      </c>
      <c r="B70" s="577"/>
      <c r="C70" s="577"/>
      <c r="D70" s="577"/>
      <c r="E70" s="577"/>
      <c r="F70" s="577"/>
      <c r="G70" s="577"/>
      <c r="H70" s="577"/>
      <c r="I70" s="577"/>
      <c r="J70" s="577"/>
    </row>
    <row r="71" spans="1:11" ht="20.25" customHeight="1" x14ac:dyDescent="0.3">
      <c r="A71" s="96">
        <v>3</v>
      </c>
      <c r="B71" s="579" t="s">
        <v>120</v>
      </c>
      <c r="C71" s="579"/>
      <c r="D71" s="579"/>
      <c r="E71" s="579"/>
      <c r="F71" s="579"/>
      <c r="G71" s="579"/>
      <c r="H71" s="579"/>
      <c r="I71" s="579"/>
      <c r="J71" s="96" t="s">
        <v>121</v>
      </c>
    </row>
    <row r="72" spans="1:11" ht="39.75" customHeight="1" x14ac:dyDescent="0.3">
      <c r="A72" s="76" t="s">
        <v>34</v>
      </c>
      <c r="B72" s="568" t="s">
        <v>294</v>
      </c>
      <c r="C72" s="568"/>
      <c r="D72" s="568"/>
      <c r="E72" s="568"/>
      <c r="F72" s="568"/>
      <c r="G72" s="568"/>
      <c r="H72" s="568"/>
      <c r="I72" s="568"/>
      <c r="J72" s="81">
        <f>ROUND((($J$25/12)+($J$30/12)+($J$25/12/12)+($J$31/12))*(3/30)*0.05,2)</f>
        <v>0.55000000000000004</v>
      </c>
      <c r="K72" s="97"/>
    </row>
    <row r="73" spans="1:11" ht="20.25" customHeight="1" x14ac:dyDescent="0.3">
      <c r="A73" s="76" t="s">
        <v>36</v>
      </c>
      <c r="B73" s="568" t="s">
        <v>123</v>
      </c>
      <c r="C73" s="568"/>
      <c r="D73" s="568"/>
      <c r="E73" s="568"/>
      <c r="F73" s="568"/>
      <c r="G73" s="568"/>
      <c r="H73" s="568"/>
      <c r="I73" s="568"/>
      <c r="J73" s="81">
        <f>ROUND($J$72*I45,2)</f>
        <v>0.04</v>
      </c>
    </row>
    <row r="74" spans="1:11" ht="39.75" customHeight="1" x14ac:dyDescent="0.3">
      <c r="A74" s="76" t="s">
        <v>38</v>
      </c>
      <c r="B74" s="568" t="s">
        <v>295</v>
      </c>
      <c r="C74" s="568"/>
      <c r="D74" s="568"/>
      <c r="E74" s="568"/>
      <c r="F74" s="568"/>
      <c r="G74" s="568"/>
      <c r="H74" s="568"/>
      <c r="I74" s="98">
        <v>1.9E-3</v>
      </c>
      <c r="J74" s="81">
        <f>ROUND($J$25*I74,2)</f>
        <v>2.08</v>
      </c>
    </row>
    <row r="75" spans="1:11" ht="29.25" customHeight="1" x14ac:dyDescent="0.3">
      <c r="A75" s="76" t="s">
        <v>40</v>
      </c>
      <c r="B75" s="568" t="s">
        <v>296</v>
      </c>
      <c r="C75" s="568"/>
      <c r="D75" s="568"/>
      <c r="E75" s="568"/>
      <c r="F75" s="568"/>
      <c r="G75" s="568"/>
      <c r="H75" s="568"/>
      <c r="I75" s="568"/>
      <c r="J75" s="81">
        <f>0.00194*J25</f>
        <v>2.126919</v>
      </c>
    </row>
    <row r="76" spans="1:11" ht="20.25" customHeight="1" x14ac:dyDescent="0.3">
      <c r="A76" s="76" t="s">
        <v>73</v>
      </c>
      <c r="B76" s="568" t="s">
        <v>239</v>
      </c>
      <c r="C76" s="568"/>
      <c r="D76" s="568"/>
      <c r="E76" s="568"/>
      <c r="F76" s="568"/>
      <c r="G76" s="568"/>
      <c r="H76" s="568"/>
      <c r="I76" s="568"/>
      <c r="J76" s="81">
        <f>J75*I46</f>
        <v>0.76101161820000018</v>
      </c>
    </row>
    <row r="77" spans="1:11" ht="39.75" customHeight="1" x14ac:dyDescent="0.3">
      <c r="A77" s="76" t="s">
        <v>76</v>
      </c>
      <c r="B77" s="568" t="s">
        <v>297</v>
      </c>
      <c r="C77" s="568"/>
      <c r="D77" s="568"/>
      <c r="E77" s="568"/>
      <c r="F77" s="568"/>
      <c r="G77" s="568"/>
      <c r="H77" s="568"/>
      <c r="I77" s="98">
        <v>3.8100000000000002E-2</v>
      </c>
      <c r="J77" s="81">
        <f>ROUND($J$25*I77,2)</f>
        <v>41.77</v>
      </c>
    </row>
    <row r="78" spans="1:11" ht="18.75" customHeight="1" x14ac:dyDescent="0.3">
      <c r="A78" s="574" t="s">
        <v>75</v>
      </c>
      <c r="B78" s="574"/>
      <c r="C78" s="574"/>
      <c r="D78" s="574"/>
      <c r="E78" s="574"/>
      <c r="F78" s="574"/>
      <c r="G78" s="574"/>
      <c r="H78" s="574"/>
      <c r="I78" s="574"/>
      <c r="J78" s="83">
        <f>SUM(J72:J77)</f>
        <v>47.3279306182</v>
      </c>
    </row>
    <row r="79" spans="1:11" ht="18.75" customHeight="1" x14ac:dyDescent="0.35">
      <c r="A79" s="567"/>
      <c r="B79" s="567"/>
      <c r="C79" s="567"/>
      <c r="D79" s="567"/>
      <c r="E79" s="567"/>
      <c r="F79" s="567"/>
      <c r="G79" s="567"/>
      <c r="H79" s="567"/>
      <c r="I79" s="567"/>
      <c r="J79" s="567"/>
    </row>
    <row r="80" spans="1:11" ht="20.25" customHeight="1" x14ac:dyDescent="0.3">
      <c r="A80" s="577" t="s">
        <v>241</v>
      </c>
      <c r="B80" s="577"/>
      <c r="C80" s="577"/>
      <c r="D80" s="577"/>
      <c r="E80" s="577"/>
      <c r="F80" s="577"/>
      <c r="G80" s="577"/>
      <c r="H80" s="577"/>
      <c r="I80" s="577"/>
      <c r="J80" s="577"/>
    </row>
    <row r="81" spans="1:10" ht="20.25" customHeight="1" x14ac:dyDescent="0.3">
      <c r="A81" s="585" t="s">
        <v>279</v>
      </c>
      <c r="B81" s="585"/>
      <c r="C81" s="585"/>
      <c r="D81" s="585"/>
      <c r="E81" s="585"/>
      <c r="F81" s="585"/>
      <c r="G81" s="585"/>
      <c r="H81" s="585"/>
      <c r="I81" s="585"/>
      <c r="J81" s="99">
        <f>J85+J25+J30+J31</f>
        <v>1320.33</v>
      </c>
    </row>
    <row r="82" spans="1:10" ht="18.75" customHeight="1" x14ac:dyDescent="0.35">
      <c r="A82" s="567"/>
      <c r="B82" s="567"/>
      <c r="C82" s="567"/>
      <c r="D82" s="567"/>
      <c r="E82" s="567"/>
      <c r="F82" s="567"/>
      <c r="G82" s="567"/>
      <c r="H82" s="567"/>
      <c r="I82" s="567"/>
      <c r="J82" s="567"/>
    </row>
    <row r="83" spans="1:10" ht="20.25" customHeight="1" x14ac:dyDescent="0.3">
      <c r="A83" s="586" t="s">
        <v>243</v>
      </c>
      <c r="B83" s="586"/>
      <c r="C83" s="586"/>
      <c r="D83" s="586"/>
      <c r="E83" s="586"/>
      <c r="F83" s="586"/>
      <c r="G83" s="586"/>
      <c r="H83" s="586"/>
      <c r="I83" s="586"/>
      <c r="J83" s="586"/>
    </row>
    <row r="84" spans="1:10" ht="18.75" customHeight="1" x14ac:dyDescent="0.3">
      <c r="A84" s="74" t="s">
        <v>134</v>
      </c>
      <c r="B84" s="582" t="s">
        <v>244</v>
      </c>
      <c r="C84" s="582"/>
      <c r="D84" s="582"/>
      <c r="E84" s="582"/>
      <c r="F84" s="582"/>
      <c r="G84" s="582"/>
      <c r="H84" s="582"/>
      <c r="I84" s="582"/>
      <c r="J84" s="74" t="s">
        <v>85</v>
      </c>
    </row>
    <row r="85" spans="1:10" ht="39.75" customHeight="1" x14ac:dyDescent="0.3">
      <c r="A85" s="76" t="s">
        <v>34</v>
      </c>
      <c r="B85" s="568" t="s">
        <v>245</v>
      </c>
      <c r="C85" s="568"/>
      <c r="D85" s="568"/>
      <c r="E85" s="568"/>
      <c r="F85" s="568"/>
      <c r="G85" s="568"/>
      <c r="H85" s="568"/>
      <c r="I85" s="79">
        <v>9.0749999999999997E-2</v>
      </c>
      <c r="J85" s="81">
        <f>ROUND(($J$25*I85),2)</f>
        <v>99.49</v>
      </c>
    </row>
    <row r="86" spans="1:10" ht="18.75" customHeight="1" x14ac:dyDescent="0.3">
      <c r="A86" s="76" t="s">
        <v>36</v>
      </c>
      <c r="B86" s="568" t="s">
        <v>246</v>
      </c>
      <c r="C86" s="568"/>
      <c r="D86" s="568"/>
      <c r="E86" s="568"/>
      <c r="F86" s="568"/>
      <c r="G86" s="568"/>
      <c r="H86" s="568"/>
      <c r="I86" s="568"/>
      <c r="J86" s="91">
        <f>ROUND((($J$81/30)*2.96)/12,2)</f>
        <v>10.86</v>
      </c>
    </row>
    <row r="87" spans="1:10" ht="18.75" customHeight="1" x14ac:dyDescent="0.3">
      <c r="A87" s="76" t="s">
        <v>38</v>
      </c>
      <c r="B87" s="568" t="s">
        <v>247</v>
      </c>
      <c r="C87" s="568"/>
      <c r="D87" s="568"/>
      <c r="E87" s="568"/>
      <c r="F87" s="568"/>
      <c r="G87" s="568"/>
      <c r="H87" s="568"/>
      <c r="I87" s="568"/>
      <c r="J87" s="91">
        <f>ROUND((($J$81/30)*5)/12*0.015,2)</f>
        <v>0.28000000000000003</v>
      </c>
    </row>
    <row r="88" spans="1:10" ht="18.75" customHeight="1" x14ac:dyDescent="0.3">
      <c r="A88" s="76" t="s">
        <v>40</v>
      </c>
      <c r="B88" s="568" t="s">
        <v>248</v>
      </c>
      <c r="C88" s="568"/>
      <c r="D88" s="568"/>
      <c r="E88" s="568"/>
      <c r="F88" s="568"/>
      <c r="G88" s="568"/>
      <c r="H88" s="568"/>
      <c r="I88" s="568"/>
      <c r="J88" s="81">
        <f>ROUND(((($J$81/30)*15)/12)*0.0078,2)</f>
        <v>0.43</v>
      </c>
    </row>
    <row r="89" spans="1:10" ht="18.75" customHeight="1" x14ac:dyDescent="0.3">
      <c r="A89" s="76" t="s">
        <v>73</v>
      </c>
      <c r="B89" s="568" t="s">
        <v>249</v>
      </c>
      <c r="C89" s="568"/>
      <c r="D89" s="568"/>
      <c r="E89" s="568"/>
      <c r="F89" s="568"/>
      <c r="G89" s="568"/>
      <c r="H89" s="568"/>
      <c r="I89" s="568"/>
      <c r="J89" s="81">
        <f>ROUND(((($J$25+$J$25/3)*4/12)/12)*0.02,2)</f>
        <v>0.81</v>
      </c>
    </row>
    <row r="90" spans="1:10" ht="18.75" customHeight="1" x14ac:dyDescent="0.3">
      <c r="A90" s="76" t="s">
        <v>76</v>
      </c>
      <c r="B90" s="568" t="s">
        <v>250</v>
      </c>
      <c r="C90" s="568"/>
      <c r="D90" s="568"/>
      <c r="E90" s="568"/>
      <c r="F90" s="568"/>
      <c r="G90" s="568"/>
      <c r="H90" s="568"/>
      <c r="I90" s="568"/>
      <c r="J90" s="81">
        <f>ROUND(((($J$81/30)*5)/12),2)</f>
        <v>18.34</v>
      </c>
    </row>
    <row r="91" spans="1:10" ht="18.75" customHeight="1" x14ac:dyDescent="0.3">
      <c r="A91" s="583" t="s">
        <v>75</v>
      </c>
      <c r="B91" s="583"/>
      <c r="C91" s="583"/>
      <c r="D91" s="583"/>
      <c r="E91" s="583"/>
      <c r="F91" s="583"/>
      <c r="G91" s="583"/>
      <c r="H91" s="583"/>
      <c r="I91" s="583"/>
      <c r="J91" s="81">
        <f>SUM(J85:J90)</f>
        <v>130.21</v>
      </c>
    </row>
    <row r="92" spans="1:10" ht="18.75" customHeight="1" x14ac:dyDescent="0.3">
      <c r="A92" s="76" t="s">
        <v>99</v>
      </c>
      <c r="B92" s="573" t="s">
        <v>251</v>
      </c>
      <c r="C92" s="573"/>
      <c r="D92" s="573"/>
      <c r="E92" s="573"/>
      <c r="F92" s="573"/>
      <c r="G92" s="573"/>
      <c r="H92" s="573"/>
      <c r="I92" s="573"/>
      <c r="J92" s="81">
        <f>ROUND(I46*J91,2)</f>
        <v>46.59</v>
      </c>
    </row>
    <row r="93" spans="1:10" ht="18.75" customHeight="1" x14ac:dyDescent="0.3">
      <c r="A93" s="574" t="s">
        <v>75</v>
      </c>
      <c r="B93" s="574"/>
      <c r="C93" s="574"/>
      <c r="D93" s="574"/>
      <c r="E93" s="574"/>
      <c r="F93" s="574"/>
      <c r="G93" s="574"/>
      <c r="H93" s="574"/>
      <c r="I93" s="574"/>
      <c r="J93" s="83">
        <f>SUM(J91:J92)</f>
        <v>176.8</v>
      </c>
    </row>
    <row r="94" spans="1:10" ht="18.75" customHeight="1" x14ac:dyDescent="0.35">
      <c r="A94" s="82"/>
      <c r="B94" s="82"/>
      <c r="C94" s="82"/>
      <c r="D94" s="82"/>
      <c r="E94" s="82"/>
      <c r="F94" s="82"/>
      <c r="G94" s="82"/>
      <c r="H94" s="82"/>
      <c r="I94" s="82"/>
      <c r="J94" s="82"/>
    </row>
    <row r="95" spans="1:10" ht="20.25" customHeight="1" x14ac:dyDescent="0.3">
      <c r="A95" s="581" t="s">
        <v>252</v>
      </c>
      <c r="B95" s="581"/>
      <c r="C95" s="581"/>
      <c r="D95" s="581"/>
      <c r="E95" s="581"/>
      <c r="F95" s="581"/>
      <c r="G95" s="581"/>
      <c r="H95" s="581"/>
      <c r="I95" s="581"/>
      <c r="J95" s="581"/>
    </row>
    <row r="96" spans="1:10" ht="18.75" customHeight="1" x14ac:dyDescent="0.3">
      <c r="A96" s="74" t="s">
        <v>145</v>
      </c>
      <c r="B96" s="582" t="s">
        <v>62</v>
      </c>
      <c r="C96" s="582"/>
      <c r="D96" s="582"/>
      <c r="E96" s="582"/>
      <c r="F96" s="582"/>
      <c r="G96" s="582"/>
      <c r="H96" s="582"/>
      <c r="I96" s="582"/>
      <c r="J96" s="101" t="s">
        <v>85</v>
      </c>
    </row>
    <row r="97" spans="1:12" ht="18.75" customHeight="1" x14ac:dyDescent="0.3">
      <c r="A97" s="76" t="s">
        <v>34</v>
      </c>
      <c r="B97" s="573" t="s">
        <v>253</v>
      </c>
      <c r="C97" s="573"/>
      <c r="D97" s="573"/>
      <c r="E97" s="573"/>
      <c r="F97" s="573"/>
      <c r="G97" s="573"/>
      <c r="H97" s="573"/>
      <c r="I97" s="573"/>
      <c r="J97" s="81">
        <v>0</v>
      </c>
    </row>
    <row r="98" spans="1:12" ht="18.75" customHeight="1" x14ac:dyDescent="0.3">
      <c r="A98" s="583" t="s">
        <v>75</v>
      </c>
      <c r="B98" s="583"/>
      <c r="C98" s="583"/>
      <c r="D98" s="583"/>
      <c r="E98" s="583"/>
      <c r="F98" s="583"/>
      <c r="G98" s="583"/>
      <c r="H98" s="583"/>
      <c r="I98" s="583"/>
      <c r="J98" s="81">
        <v>0</v>
      </c>
    </row>
    <row r="99" spans="1:12" ht="18.75" customHeight="1" x14ac:dyDescent="0.3">
      <c r="A99" s="76" t="s">
        <v>36</v>
      </c>
      <c r="B99" s="573" t="s">
        <v>254</v>
      </c>
      <c r="C99" s="573"/>
      <c r="D99" s="573"/>
      <c r="E99" s="573"/>
      <c r="F99" s="573"/>
      <c r="G99" s="573"/>
      <c r="H99" s="573"/>
      <c r="I99" s="573"/>
      <c r="J99" s="81">
        <f>ROUND(I46*J98,2)</f>
        <v>0</v>
      </c>
    </row>
    <row r="100" spans="1:12" ht="18.75" customHeight="1" x14ac:dyDescent="0.3">
      <c r="A100" s="574" t="s">
        <v>75</v>
      </c>
      <c r="B100" s="574"/>
      <c r="C100" s="574"/>
      <c r="D100" s="574"/>
      <c r="E100" s="574"/>
      <c r="F100" s="574"/>
      <c r="G100" s="574"/>
      <c r="H100" s="574"/>
      <c r="I100" s="574"/>
      <c r="J100" s="83">
        <f>SUM(J98:J99)</f>
        <v>0</v>
      </c>
    </row>
    <row r="101" spans="1:12" ht="18.75" customHeight="1" x14ac:dyDescent="0.35">
      <c r="A101" s="584"/>
      <c r="B101" s="584"/>
      <c r="C101" s="584"/>
      <c r="D101" s="584"/>
      <c r="E101" s="584"/>
      <c r="F101" s="584"/>
      <c r="G101" s="584"/>
      <c r="H101" s="584"/>
      <c r="I101" s="584"/>
      <c r="J101" s="584"/>
    </row>
    <row r="102" spans="1:12" ht="20.25" customHeight="1" x14ac:dyDescent="0.3">
      <c r="A102" s="581" t="s">
        <v>255</v>
      </c>
      <c r="B102" s="581"/>
      <c r="C102" s="581"/>
      <c r="D102" s="581"/>
      <c r="E102" s="581"/>
      <c r="F102" s="581"/>
      <c r="G102" s="581"/>
      <c r="H102" s="581"/>
      <c r="I102" s="581"/>
      <c r="J102" s="581"/>
    </row>
    <row r="103" spans="1:12" ht="20.25" customHeight="1" x14ac:dyDescent="0.3">
      <c r="A103" s="70">
        <v>4</v>
      </c>
      <c r="B103" s="579" t="s">
        <v>149</v>
      </c>
      <c r="C103" s="579"/>
      <c r="D103" s="579"/>
      <c r="E103" s="579"/>
      <c r="F103" s="579"/>
      <c r="G103" s="579"/>
      <c r="H103" s="579"/>
      <c r="I103" s="579"/>
      <c r="J103" s="102" t="s">
        <v>85</v>
      </c>
      <c r="L103" s="103"/>
    </row>
    <row r="104" spans="1:12" ht="20.25" customHeight="1" x14ac:dyDescent="0.3">
      <c r="A104" s="67" t="s">
        <v>134</v>
      </c>
      <c r="B104" s="568" t="s">
        <v>244</v>
      </c>
      <c r="C104" s="568"/>
      <c r="D104" s="568"/>
      <c r="E104" s="568"/>
      <c r="F104" s="568"/>
      <c r="G104" s="568"/>
      <c r="H104" s="568"/>
      <c r="I104" s="568"/>
      <c r="J104" s="81">
        <f>J93</f>
        <v>176.8</v>
      </c>
      <c r="L104" s="104"/>
    </row>
    <row r="105" spans="1:12" ht="20.25" customHeight="1" x14ac:dyDescent="0.3">
      <c r="A105" s="67" t="s">
        <v>145</v>
      </c>
      <c r="B105" s="568" t="s">
        <v>62</v>
      </c>
      <c r="C105" s="568"/>
      <c r="D105" s="568"/>
      <c r="E105" s="568"/>
      <c r="F105" s="568"/>
      <c r="G105" s="568"/>
      <c r="H105" s="568"/>
      <c r="I105" s="568"/>
      <c r="J105" s="81">
        <f>J100</f>
        <v>0</v>
      </c>
    </row>
    <row r="106" spans="1:12" ht="20.25" customHeight="1" x14ac:dyDescent="0.3">
      <c r="A106" s="580" t="s">
        <v>75</v>
      </c>
      <c r="B106" s="580"/>
      <c r="C106" s="580"/>
      <c r="D106" s="580"/>
      <c r="E106" s="580"/>
      <c r="F106" s="580"/>
      <c r="G106" s="580"/>
      <c r="H106" s="580"/>
      <c r="I106" s="580"/>
      <c r="J106" s="83">
        <f>SUM(J104+J105)</f>
        <v>176.8</v>
      </c>
    </row>
    <row r="107" spans="1:12" ht="18.75" customHeight="1" x14ac:dyDescent="0.35">
      <c r="A107" s="567"/>
      <c r="B107" s="567"/>
      <c r="C107" s="567"/>
      <c r="D107" s="567"/>
      <c r="E107" s="567"/>
      <c r="F107" s="567"/>
      <c r="G107" s="567"/>
      <c r="H107" s="567"/>
      <c r="I107" s="567"/>
      <c r="J107" s="567"/>
    </row>
    <row r="108" spans="1:12" ht="20.25" customHeight="1" x14ac:dyDescent="0.3">
      <c r="A108" s="577" t="s">
        <v>256</v>
      </c>
      <c r="B108" s="577"/>
      <c r="C108" s="577"/>
      <c r="D108" s="577"/>
      <c r="E108" s="577"/>
      <c r="F108" s="577"/>
      <c r="G108" s="577"/>
      <c r="H108" s="577"/>
      <c r="I108" s="577"/>
      <c r="J108" s="577"/>
    </row>
    <row r="109" spans="1:12" ht="18.75" customHeight="1" x14ac:dyDescent="0.3">
      <c r="A109" s="96">
        <v>5</v>
      </c>
      <c r="B109" s="578" t="s">
        <v>151</v>
      </c>
      <c r="C109" s="578"/>
      <c r="D109" s="578"/>
      <c r="E109" s="578"/>
      <c r="F109" s="578"/>
      <c r="G109" s="578"/>
      <c r="H109" s="578"/>
      <c r="I109" s="578"/>
      <c r="J109" s="96" t="s">
        <v>85</v>
      </c>
    </row>
    <row r="110" spans="1:12" ht="18.75" customHeight="1" x14ac:dyDescent="0.3">
      <c r="A110" s="76" t="s">
        <v>34</v>
      </c>
      <c r="B110" s="573" t="s">
        <v>152</v>
      </c>
      <c r="C110" s="573"/>
      <c r="D110" s="573"/>
      <c r="E110" s="573"/>
      <c r="F110" s="573"/>
      <c r="G110" s="573"/>
      <c r="H110" s="573"/>
      <c r="I110" s="573"/>
      <c r="J110" s="81">
        <f>(J106+J78+J68+J25)*(0.0145)</f>
        <v>36.055814993963899</v>
      </c>
    </row>
    <row r="111" spans="1:12" ht="20.25" customHeight="1" x14ac:dyDescent="0.3">
      <c r="A111" s="76" t="s">
        <v>36</v>
      </c>
      <c r="B111" s="573" t="s">
        <v>153</v>
      </c>
      <c r="C111" s="573"/>
      <c r="D111" s="573"/>
      <c r="E111" s="573"/>
      <c r="F111" s="573"/>
      <c r="G111" s="573"/>
      <c r="H111" s="573"/>
      <c r="I111" s="573"/>
      <c r="J111" s="93" t="s">
        <v>71</v>
      </c>
    </row>
    <row r="112" spans="1:12" ht="20.25" customHeight="1" x14ac:dyDescent="0.3">
      <c r="A112" s="76" t="s">
        <v>38</v>
      </c>
      <c r="B112" s="573" t="s">
        <v>257</v>
      </c>
      <c r="C112" s="573"/>
      <c r="D112" s="573"/>
      <c r="E112" s="573"/>
      <c r="F112" s="573"/>
      <c r="G112" s="573"/>
      <c r="H112" s="573"/>
      <c r="I112" s="573"/>
      <c r="J112" s="93" t="s">
        <v>71</v>
      </c>
    </row>
    <row r="113" spans="1:10" ht="20.25" customHeight="1" x14ac:dyDescent="0.3">
      <c r="A113" s="76" t="s">
        <v>40</v>
      </c>
      <c r="B113" s="573" t="s">
        <v>155</v>
      </c>
      <c r="C113" s="573"/>
      <c r="D113" s="573"/>
      <c r="E113" s="573"/>
      <c r="F113" s="573"/>
      <c r="G113" s="573"/>
      <c r="H113" s="573"/>
      <c r="I113" s="573"/>
      <c r="J113" s="93" t="s">
        <v>71</v>
      </c>
    </row>
    <row r="114" spans="1:10" ht="20.25" customHeight="1" x14ac:dyDescent="0.3">
      <c r="A114" s="574" t="s">
        <v>75</v>
      </c>
      <c r="B114" s="574"/>
      <c r="C114" s="574"/>
      <c r="D114" s="574"/>
      <c r="E114" s="574"/>
      <c r="F114" s="574"/>
      <c r="G114" s="574"/>
      <c r="H114" s="574"/>
      <c r="I114" s="574"/>
      <c r="J114" s="99">
        <f>SUM(J110:J113)</f>
        <v>36.055814993963899</v>
      </c>
    </row>
    <row r="115" spans="1:10" ht="18.75" customHeight="1" x14ac:dyDescent="0.35">
      <c r="A115" s="567"/>
      <c r="B115" s="567"/>
      <c r="C115" s="567"/>
      <c r="D115" s="567"/>
      <c r="E115" s="567"/>
      <c r="F115" s="567"/>
      <c r="G115" s="567"/>
      <c r="H115" s="567"/>
      <c r="I115" s="567"/>
      <c r="J115" s="567"/>
    </row>
    <row r="116" spans="1:10" ht="20.25" customHeight="1" x14ac:dyDescent="0.3">
      <c r="A116" s="577" t="s">
        <v>258</v>
      </c>
      <c r="B116" s="577"/>
      <c r="C116" s="577"/>
      <c r="D116" s="577"/>
      <c r="E116" s="577"/>
      <c r="F116" s="577"/>
      <c r="G116" s="577"/>
      <c r="H116" s="577"/>
      <c r="I116" s="577"/>
      <c r="J116" s="577"/>
    </row>
    <row r="117" spans="1:10" ht="20.25" customHeight="1" x14ac:dyDescent="0.3">
      <c r="A117" s="96">
        <v>6</v>
      </c>
      <c r="B117" s="578" t="s">
        <v>157</v>
      </c>
      <c r="C117" s="578"/>
      <c r="D117" s="578"/>
      <c r="E117" s="578"/>
      <c r="F117" s="578"/>
      <c r="G117" s="578"/>
      <c r="H117" s="578"/>
      <c r="I117" s="70" t="s">
        <v>221</v>
      </c>
      <c r="J117" s="105" t="s">
        <v>85</v>
      </c>
    </row>
    <row r="118" spans="1:10" ht="50.25" customHeight="1" x14ac:dyDescent="0.3">
      <c r="A118" s="568" t="s">
        <v>259</v>
      </c>
      <c r="B118" s="568"/>
      <c r="C118" s="568"/>
      <c r="D118" s="568"/>
      <c r="E118" s="568"/>
      <c r="F118" s="568"/>
      <c r="G118" s="568"/>
      <c r="H118" s="568"/>
      <c r="I118" s="106" t="s">
        <v>164</v>
      </c>
      <c r="J118" s="81">
        <f>SUM(J25+J68+J78+J106+J114)</f>
        <v>2522.6637456121639</v>
      </c>
    </row>
    <row r="119" spans="1:10" ht="18.75" customHeight="1" x14ac:dyDescent="0.3">
      <c r="A119" s="76" t="s">
        <v>34</v>
      </c>
      <c r="B119" s="573" t="s">
        <v>159</v>
      </c>
      <c r="C119" s="573"/>
      <c r="D119" s="573"/>
      <c r="E119" s="573"/>
      <c r="F119" s="573"/>
      <c r="G119" s="573"/>
      <c r="H119" s="573"/>
      <c r="I119" s="84">
        <v>7.1000000000000004E-3</v>
      </c>
      <c r="J119" s="81">
        <f>ROUND(I119*J118,2)</f>
        <v>17.91</v>
      </c>
    </row>
    <row r="120" spans="1:10" ht="65.25" customHeight="1" x14ac:dyDescent="0.3">
      <c r="A120" s="568" t="s">
        <v>260</v>
      </c>
      <c r="B120" s="568"/>
      <c r="C120" s="568"/>
      <c r="D120" s="568"/>
      <c r="E120" s="568"/>
      <c r="F120" s="568"/>
      <c r="G120" s="568"/>
      <c r="H120" s="568"/>
      <c r="I120" s="107" t="s">
        <v>164</v>
      </c>
      <c r="J120" s="81">
        <f>SUM(J25+J68+J78+J106+J114+J119)</f>
        <v>2540.5737456121637</v>
      </c>
    </row>
    <row r="121" spans="1:10" ht="18.75" customHeight="1" x14ac:dyDescent="0.3">
      <c r="A121" s="76" t="s">
        <v>36</v>
      </c>
      <c r="B121" s="573" t="s">
        <v>161</v>
      </c>
      <c r="C121" s="573"/>
      <c r="D121" s="573"/>
      <c r="E121" s="573"/>
      <c r="F121" s="573"/>
      <c r="G121" s="573"/>
      <c r="H121" s="573"/>
      <c r="I121" s="84">
        <f>I119</f>
        <v>7.1000000000000004E-3</v>
      </c>
      <c r="J121" s="81">
        <f>ROUND(I121*J120,2)</f>
        <v>18.04</v>
      </c>
    </row>
    <row r="122" spans="1:10" ht="65.25" customHeight="1" x14ac:dyDescent="0.3">
      <c r="A122" s="568" t="s">
        <v>261</v>
      </c>
      <c r="B122" s="568"/>
      <c r="C122" s="568"/>
      <c r="D122" s="568"/>
      <c r="E122" s="568"/>
      <c r="F122" s="568"/>
      <c r="G122" s="568"/>
      <c r="H122" s="568"/>
      <c r="I122" s="107" t="s">
        <v>164</v>
      </c>
      <c r="J122" s="81">
        <f>SUM(J25+J68+J78+J106+J114+J119+J121)</f>
        <v>2558.6137456121637</v>
      </c>
    </row>
    <row r="123" spans="1:10" ht="18.75" customHeight="1" x14ac:dyDescent="0.3">
      <c r="A123" s="76" t="s">
        <v>38</v>
      </c>
      <c r="B123" s="573" t="s">
        <v>163</v>
      </c>
      <c r="C123" s="573"/>
      <c r="D123" s="573"/>
      <c r="E123" s="573"/>
      <c r="F123" s="573"/>
      <c r="G123" s="573"/>
      <c r="H123" s="573"/>
      <c r="I123" s="77" t="s">
        <v>164</v>
      </c>
      <c r="J123" s="90" t="s">
        <v>164</v>
      </c>
    </row>
    <row r="124" spans="1:10" ht="18.75" customHeight="1" x14ac:dyDescent="0.3">
      <c r="A124" s="76"/>
      <c r="B124" s="573" t="s">
        <v>165</v>
      </c>
      <c r="C124" s="573"/>
      <c r="D124" s="573"/>
      <c r="E124" s="573"/>
      <c r="F124" s="573"/>
      <c r="G124" s="573"/>
      <c r="H124" s="573"/>
      <c r="I124" s="77" t="s">
        <v>164</v>
      </c>
      <c r="J124" s="90" t="s">
        <v>164</v>
      </c>
    </row>
    <row r="125" spans="1:10" ht="20.25" customHeight="1" x14ac:dyDescent="0.3">
      <c r="A125" s="76"/>
      <c r="B125" s="573" t="s">
        <v>262</v>
      </c>
      <c r="C125" s="573"/>
      <c r="D125" s="573"/>
      <c r="E125" s="573"/>
      <c r="F125" s="573"/>
      <c r="G125" s="573"/>
      <c r="H125" s="573"/>
      <c r="I125" s="108">
        <v>0.03</v>
      </c>
      <c r="J125" s="81">
        <f>ROUND(($J$122/(1-$I$134))*I125,2)</f>
        <v>84.03</v>
      </c>
    </row>
    <row r="126" spans="1:10" ht="20.25" customHeight="1" x14ac:dyDescent="0.3">
      <c r="A126" s="76"/>
      <c r="B126" s="573" t="s">
        <v>263</v>
      </c>
      <c r="C126" s="573"/>
      <c r="D126" s="573"/>
      <c r="E126" s="573"/>
      <c r="F126" s="573"/>
      <c r="G126" s="573"/>
      <c r="H126" s="573"/>
      <c r="I126" s="108">
        <v>6.4999999999999997E-3</v>
      </c>
      <c r="J126" s="81">
        <f>ROUND(($J$122/(1-$I$134))*I126,2)</f>
        <v>18.21</v>
      </c>
    </row>
    <row r="127" spans="1:10" ht="35.25" customHeight="1" x14ac:dyDescent="0.3">
      <c r="A127" s="76"/>
      <c r="B127" s="568" t="s">
        <v>264</v>
      </c>
      <c r="C127" s="568"/>
      <c r="D127" s="568"/>
      <c r="E127" s="568"/>
      <c r="F127" s="568"/>
      <c r="G127" s="568"/>
      <c r="H127" s="568"/>
      <c r="I127" s="98" t="s">
        <v>164</v>
      </c>
      <c r="J127" s="90" t="s">
        <v>164</v>
      </c>
    </row>
    <row r="128" spans="1:10" ht="35.25" customHeight="1" x14ac:dyDescent="0.3">
      <c r="A128" s="76"/>
      <c r="B128" s="568" t="s">
        <v>265</v>
      </c>
      <c r="C128" s="568"/>
      <c r="D128" s="568"/>
      <c r="E128" s="568"/>
      <c r="F128" s="568"/>
      <c r="G128" s="568"/>
      <c r="H128" s="568"/>
      <c r="I128" s="98" t="s">
        <v>164</v>
      </c>
      <c r="J128" s="90" t="s">
        <v>164</v>
      </c>
    </row>
    <row r="129" spans="1:10" ht="20.25" customHeight="1" x14ac:dyDescent="0.3">
      <c r="A129" s="76"/>
      <c r="B129" s="573" t="s">
        <v>168</v>
      </c>
      <c r="C129" s="573"/>
      <c r="D129" s="573"/>
      <c r="E129" s="573"/>
      <c r="F129" s="573"/>
      <c r="G129" s="573"/>
      <c r="H129" s="573"/>
      <c r="I129" s="98" t="s">
        <v>164</v>
      </c>
      <c r="J129" s="90" t="s">
        <v>164</v>
      </c>
    </row>
    <row r="130" spans="1:10" ht="20.25" customHeight="1" x14ac:dyDescent="0.3">
      <c r="A130" s="76"/>
      <c r="B130" s="573" t="s">
        <v>266</v>
      </c>
      <c r="C130" s="573"/>
      <c r="D130" s="573"/>
      <c r="E130" s="573"/>
      <c r="F130" s="573"/>
      <c r="G130" s="573"/>
      <c r="H130" s="573"/>
      <c r="I130" s="98" t="s">
        <v>164</v>
      </c>
      <c r="J130" s="90" t="s">
        <v>164</v>
      </c>
    </row>
    <row r="131" spans="1:10" ht="20.25" customHeight="1" x14ac:dyDescent="0.3">
      <c r="A131" s="76"/>
      <c r="B131" s="573" t="s">
        <v>267</v>
      </c>
      <c r="C131" s="573"/>
      <c r="D131" s="573"/>
      <c r="E131" s="573"/>
      <c r="F131" s="573"/>
      <c r="G131" s="573"/>
      <c r="H131" s="573"/>
      <c r="I131" s="108">
        <v>0.05</v>
      </c>
      <c r="J131" s="81">
        <f>ROUND(($J$122/(1-$I$134))*I131,2)</f>
        <v>140.04</v>
      </c>
    </row>
    <row r="132" spans="1:10" ht="18.75" customHeight="1" x14ac:dyDescent="0.3">
      <c r="A132" s="574" t="s">
        <v>75</v>
      </c>
      <c r="B132" s="574"/>
      <c r="C132" s="574"/>
      <c r="D132" s="574"/>
      <c r="E132" s="574"/>
      <c r="F132" s="574"/>
      <c r="G132" s="574"/>
      <c r="H132" s="574"/>
      <c r="I132" s="574"/>
      <c r="J132" s="83">
        <f>SUM(J119+J121+J125+J126+J131)</f>
        <v>278.23</v>
      </c>
    </row>
    <row r="133" spans="1:10" ht="18.75" customHeight="1" x14ac:dyDescent="0.35">
      <c r="A133" s="567"/>
      <c r="B133" s="567"/>
      <c r="C133" s="567"/>
      <c r="D133" s="567"/>
      <c r="E133" s="567"/>
      <c r="F133" s="567"/>
      <c r="G133" s="567"/>
      <c r="H133" s="567"/>
      <c r="I133" s="567"/>
      <c r="J133" s="567"/>
    </row>
    <row r="134" spans="1:10" ht="20.25" customHeight="1" x14ac:dyDescent="0.3">
      <c r="A134" s="575" t="s">
        <v>170</v>
      </c>
      <c r="B134" s="575"/>
      <c r="C134" s="575"/>
      <c r="D134" s="575"/>
      <c r="E134" s="575"/>
      <c r="F134" s="575"/>
      <c r="G134" s="575"/>
      <c r="H134" s="575"/>
      <c r="I134" s="84">
        <f>SUM(I125:I131)</f>
        <v>8.6499999999999994E-2</v>
      </c>
      <c r="J134" s="81">
        <f>SUM(J125:J131)</f>
        <v>242.28</v>
      </c>
    </row>
    <row r="135" spans="1:10" ht="18.75" customHeight="1" x14ac:dyDescent="0.3">
      <c r="A135" s="576" t="s">
        <v>171</v>
      </c>
      <c r="B135" s="576"/>
      <c r="C135" s="576"/>
      <c r="D135" s="573" t="s">
        <v>172</v>
      </c>
      <c r="E135" s="573"/>
      <c r="F135" s="573"/>
      <c r="G135" s="573"/>
      <c r="H135" s="573"/>
      <c r="I135" s="573"/>
      <c r="J135" s="573"/>
    </row>
    <row r="136" spans="1:10" ht="18.75" customHeight="1" x14ac:dyDescent="0.3">
      <c r="A136" s="576"/>
      <c r="B136" s="576"/>
      <c r="C136" s="576"/>
      <c r="D136" s="573" t="s">
        <v>173</v>
      </c>
      <c r="E136" s="573"/>
      <c r="F136" s="573"/>
      <c r="G136" s="573"/>
      <c r="H136" s="573"/>
      <c r="I136" s="573"/>
      <c r="J136" s="573"/>
    </row>
    <row r="137" spans="1:10" ht="18.75" customHeight="1" x14ac:dyDescent="0.3">
      <c r="A137" s="576"/>
      <c r="B137" s="576"/>
      <c r="C137" s="576"/>
      <c r="D137" s="573" t="s">
        <v>174</v>
      </c>
      <c r="E137" s="573"/>
      <c r="F137" s="573"/>
      <c r="G137" s="573"/>
      <c r="H137" s="573"/>
      <c r="I137" s="573"/>
      <c r="J137" s="573"/>
    </row>
    <row r="138" spans="1:10" ht="18.75" customHeight="1" x14ac:dyDescent="0.35">
      <c r="A138" s="567"/>
      <c r="B138" s="567"/>
      <c r="C138" s="567"/>
      <c r="D138" s="567"/>
      <c r="E138" s="567"/>
      <c r="F138" s="567"/>
      <c r="G138" s="567"/>
      <c r="H138" s="567"/>
      <c r="I138" s="567"/>
      <c r="J138" s="567"/>
    </row>
    <row r="139" spans="1:10" ht="50.25" customHeight="1" x14ac:dyDescent="0.3">
      <c r="A139" s="570" t="s">
        <v>268</v>
      </c>
      <c r="B139" s="570"/>
      <c r="C139" s="570"/>
      <c r="D139" s="570"/>
      <c r="E139" s="570"/>
      <c r="F139" s="570"/>
      <c r="G139" s="570"/>
      <c r="H139" s="570"/>
      <c r="I139" s="570"/>
      <c r="J139" s="570"/>
    </row>
    <row r="140" spans="1:10" ht="20.25" customHeight="1" x14ac:dyDescent="0.3">
      <c r="A140" s="598" t="s">
        <v>269</v>
      </c>
      <c r="B140" s="598"/>
      <c r="C140" s="598"/>
      <c r="D140" s="598"/>
      <c r="E140" s="598"/>
      <c r="F140" s="598"/>
      <c r="G140" s="598"/>
      <c r="H140" s="598"/>
      <c r="I140" s="598"/>
      <c r="J140" s="100" t="s">
        <v>85</v>
      </c>
    </row>
    <row r="141" spans="1:10" ht="20.25" customHeight="1" x14ac:dyDescent="0.3">
      <c r="A141" s="109" t="s">
        <v>34</v>
      </c>
      <c r="B141" s="565" t="s">
        <v>177</v>
      </c>
      <c r="C141" s="565"/>
      <c r="D141" s="565"/>
      <c r="E141" s="565"/>
      <c r="F141" s="565"/>
      <c r="G141" s="565"/>
      <c r="H141" s="565"/>
      <c r="I141" s="565"/>
      <c r="J141" s="93">
        <f>J25</f>
        <v>1096.3499999999999</v>
      </c>
    </row>
    <row r="142" spans="1:10" ht="20.25" customHeight="1" x14ac:dyDescent="0.3">
      <c r="A142" s="109" t="s">
        <v>36</v>
      </c>
      <c r="B142" s="565" t="s">
        <v>80</v>
      </c>
      <c r="C142" s="565"/>
      <c r="D142" s="565"/>
      <c r="E142" s="565"/>
      <c r="F142" s="565"/>
      <c r="G142" s="565"/>
      <c r="H142" s="565"/>
      <c r="I142" s="565"/>
      <c r="J142" s="93">
        <f>J68</f>
        <v>1166.1300000000001</v>
      </c>
    </row>
    <row r="143" spans="1:10" ht="20.25" customHeight="1" x14ac:dyDescent="0.3">
      <c r="A143" s="109" t="s">
        <v>38</v>
      </c>
      <c r="B143" s="565" t="s">
        <v>178</v>
      </c>
      <c r="C143" s="565"/>
      <c r="D143" s="565"/>
      <c r="E143" s="565"/>
      <c r="F143" s="565"/>
      <c r="G143" s="565"/>
      <c r="H143" s="565"/>
      <c r="I143" s="565"/>
      <c r="J143" s="93">
        <f>J78</f>
        <v>47.3279306182</v>
      </c>
    </row>
    <row r="144" spans="1:10" ht="20.25" customHeight="1" x14ac:dyDescent="0.3">
      <c r="A144" s="109" t="s">
        <v>40</v>
      </c>
      <c r="B144" s="565" t="s">
        <v>179</v>
      </c>
      <c r="C144" s="565"/>
      <c r="D144" s="565"/>
      <c r="E144" s="565"/>
      <c r="F144" s="565"/>
      <c r="G144" s="565"/>
      <c r="H144" s="565"/>
      <c r="I144" s="565"/>
      <c r="J144" s="93">
        <f>J106</f>
        <v>176.8</v>
      </c>
    </row>
    <row r="145" spans="1:10" ht="20.25" customHeight="1" x14ac:dyDescent="0.3">
      <c r="A145" s="109" t="s">
        <v>73</v>
      </c>
      <c r="B145" s="565" t="s">
        <v>180</v>
      </c>
      <c r="C145" s="565"/>
      <c r="D145" s="565"/>
      <c r="E145" s="565"/>
      <c r="F145" s="565"/>
      <c r="G145" s="565"/>
      <c r="H145" s="565"/>
      <c r="I145" s="565"/>
      <c r="J145" s="93">
        <f>J114</f>
        <v>36.055814993963899</v>
      </c>
    </row>
    <row r="146" spans="1:10" ht="20.25" customHeight="1" x14ac:dyDescent="0.3">
      <c r="A146" s="572" t="s">
        <v>181</v>
      </c>
      <c r="B146" s="572"/>
      <c r="C146" s="572"/>
      <c r="D146" s="572"/>
      <c r="E146" s="572"/>
      <c r="F146" s="572"/>
      <c r="G146" s="572"/>
      <c r="H146" s="572"/>
      <c r="I146" s="572"/>
      <c r="J146" s="99">
        <f>SUM(J141:J145)</f>
        <v>2522.6637456121639</v>
      </c>
    </row>
    <row r="147" spans="1:10" ht="20.25" customHeight="1" x14ac:dyDescent="0.3">
      <c r="A147" s="109" t="s">
        <v>76</v>
      </c>
      <c r="B147" s="565" t="s">
        <v>182</v>
      </c>
      <c r="C147" s="565"/>
      <c r="D147" s="565"/>
      <c r="E147" s="565"/>
      <c r="F147" s="565"/>
      <c r="G147" s="565"/>
      <c r="H147" s="565"/>
      <c r="I147" s="565"/>
      <c r="J147" s="93">
        <f>J132</f>
        <v>278.23</v>
      </c>
    </row>
    <row r="148" spans="1:10" ht="20.25" customHeight="1" x14ac:dyDescent="0.3">
      <c r="A148" s="566" t="s">
        <v>270</v>
      </c>
      <c r="B148" s="566"/>
      <c r="C148" s="566"/>
      <c r="D148" s="566"/>
      <c r="E148" s="566"/>
      <c r="F148" s="566"/>
      <c r="G148" s="566"/>
      <c r="H148" s="566"/>
      <c r="I148" s="566"/>
      <c r="J148" s="110">
        <f>SUM(J146:J147)</f>
        <v>2800.8937456121639</v>
      </c>
    </row>
    <row r="149" spans="1:10" ht="18.75" customHeight="1" x14ac:dyDescent="0.35">
      <c r="A149" s="567"/>
      <c r="B149" s="567"/>
      <c r="C149" s="567"/>
      <c r="D149" s="567"/>
      <c r="E149" s="567"/>
      <c r="F149" s="567"/>
      <c r="G149" s="567"/>
      <c r="H149" s="567"/>
      <c r="I149" s="567"/>
      <c r="J149" s="567"/>
    </row>
    <row r="150" spans="1:10" ht="20.25" customHeight="1" x14ac:dyDescent="0.3">
      <c r="A150" s="568" t="s">
        <v>188</v>
      </c>
      <c r="B150" s="568"/>
      <c r="C150" s="568"/>
      <c r="D150" s="568"/>
      <c r="E150" s="568"/>
      <c r="F150" s="568"/>
      <c r="G150" s="569">
        <f>J148</f>
        <v>2800.8937456121639</v>
      </c>
      <c r="H150" s="569"/>
      <c r="I150" s="569"/>
      <c r="J150" s="569"/>
    </row>
    <row r="152" spans="1:10" ht="20.25" customHeight="1" x14ac:dyDescent="0.3"/>
    <row r="154" spans="1:10" ht="33" customHeight="1" x14ac:dyDescent="0.3"/>
  </sheetData>
  <mergeCells count="160">
    <mergeCell ref="A1:J1"/>
    <mergeCell ref="A2:J2"/>
    <mergeCell ref="A3:J3"/>
    <mergeCell ref="A4:J4"/>
    <mergeCell ref="A5:J5"/>
    <mergeCell ref="A6:J6"/>
    <mergeCell ref="B7:G7"/>
    <mergeCell ref="H7:J7"/>
    <mergeCell ref="B8:G8"/>
    <mergeCell ref="H8:J8"/>
    <mergeCell ref="B9:G9"/>
    <mergeCell ref="H9:J9"/>
    <mergeCell ref="B10:G10"/>
    <mergeCell ref="H10:J10"/>
    <mergeCell ref="A11:J11"/>
    <mergeCell ref="A12:J12"/>
    <mergeCell ref="A13:J13"/>
    <mergeCell ref="A14:J14"/>
    <mergeCell ref="B15:G15"/>
    <mergeCell ref="H15:J15"/>
    <mergeCell ref="B16:G16"/>
    <mergeCell ref="H16:J16"/>
    <mergeCell ref="B17:G17"/>
    <mergeCell ref="H17:J17"/>
    <mergeCell ref="B18:G18"/>
    <mergeCell ref="H18:J18"/>
    <mergeCell ref="B19:G19"/>
    <mergeCell ref="H19:J19"/>
    <mergeCell ref="A20:J20"/>
    <mergeCell ref="A21:J21"/>
    <mergeCell ref="B22:I22"/>
    <mergeCell ref="B23:I23"/>
    <mergeCell ref="B24:I24"/>
    <mergeCell ref="A25:I25"/>
    <mergeCell ref="A26:J26"/>
    <mergeCell ref="A27:J27"/>
    <mergeCell ref="A28:J28"/>
    <mergeCell ref="B29:I29"/>
    <mergeCell ref="B30:H30"/>
    <mergeCell ref="B31:H31"/>
    <mergeCell ref="A32:I32"/>
    <mergeCell ref="B33:I33"/>
    <mergeCell ref="A34:I34"/>
    <mergeCell ref="A35:J35"/>
    <mergeCell ref="A36:J36"/>
    <mergeCell ref="B37:H37"/>
    <mergeCell ref="B38:H38"/>
    <mergeCell ref="B39:H39"/>
    <mergeCell ref="B40:D40"/>
    <mergeCell ref="B41:H41"/>
    <mergeCell ref="B42:H42"/>
    <mergeCell ref="B43:H43"/>
    <mergeCell ref="B44:H44"/>
    <mergeCell ref="B45:H45"/>
    <mergeCell ref="A46:H46"/>
    <mergeCell ref="A47:J47"/>
    <mergeCell ref="A48:J48"/>
    <mergeCell ref="B49:I49"/>
    <mergeCell ref="B50:I50"/>
    <mergeCell ref="B51:H51"/>
    <mergeCell ref="B52:H52"/>
    <mergeCell ref="B53:H53"/>
    <mergeCell ref="B54:I54"/>
    <mergeCell ref="B55:H55"/>
    <mergeCell ref="B56:H56"/>
    <mergeCell ref="B57:I57"/>
    <mergeCell ref="B58:I58"/>
    <mergeCell ref="B59:I59"/>
    <mergeCell ref="B60:I60"/>
    <mergeCell ref="A61:I61"/>
    <mergeCell ref="A62:J62"/>
    <mergeCell ref="A63:J63"/>
    <mergeCell ref="B64:I64"/>
    <mergeCell ref="C65:I65"/>
    <mergeCell ref="C66:I66"/>
    <mergeCell ref="C67:I67"/>
    <mergeCell ref="A68:I68"/>
    <mergeCell ref="A69:J69"/>
    <mergeCell ref="A70:J70"/>
    <mergeCell ref="B71:I71"/>
    <mergeCell ref="B72:I72"/>
    <mergeCell ref="B73:I73"/>
    <mergeCell ref="B74:H74"/>
    <mergeCell ref="B75:I75"/>
    <mergeCell ref="B76:I76"/>
    <mergeCell ref="B77:H77"/>
    <mergeCell ref="A78:I78"/>
    <mergeCell ref="A79:J79"/>
    <mergeCell ref="A80:J80"/>
    <mergeCell ref="A81:I81"/>
    <mergeCell ref="A82:J82"/>
    <mergeCell ref="A83:J83"/>
    <mergeCell ref="B84:I84"/>
    <mergeCell ref="B85:H85"/>
    <mergeCell ref="B86:I86"/>
    <mergeCell ref="B87:I87"/>
    <mergeCell ref="B88:I88"/>
    <mergeCell ref="B89:I89"/>
    <mergeCell ref="B90:I90"/>
    <mergeCell ref="A91:I91"/>
    <mergeCell ref="B92:I92"/>
    <mergeCell ref="A93:I93"/>
    <mergeCell ref="A95:J95"/>
    <mergeCell ref="B96:I96"/>
    <mergeCell ref="B97:I97"/>
    <mergeCell ref="A98:I98"/>
    <mergeCell ref="B99:I99"/>
    <mergeCell ref="A100:I100"/>
    <mergeCell ref="A101:J101"/>
    <mergeCell ref="A102:J102"/>
    <mergeCell ref="B103:I103"/>
    <mergeCell ref="B104:I104"/>
    <mergeCell ref="B105:I105"/>
    <mergeCell ref="A106:I106"/>
    <mergeCell ref="A107:J107"/>
    <mergeCell ref="A108:J108"/>
    <mergeCell ref="B109:I109"/>
    <mergeCell ref="B110:I110"/>
    <mergeCell ref="B111:I111"/>
    <mergeCell ref="B112:I112"/>
    <mergeCell ref="B113:I113"/>
    <mergeCell ref="A114:I114"/>
    <mergeCell ref="A115:J115"/>
    <mergeCell ref="A116:J116"/>
    <mergeCell ref="B117:H117"/>
    <mergeCell ref="A118:H118"/>
    <mergeCell ref="B119:H119"/>
    <mergeCell ref="A120:H120"/>
    <mergeCell ref="B121:H121"/>
    <mergeCell ref="A122:H122"/>
    <mergeCell ref="B123:H123"/>
    <mergeCell ref="B124:H124"/>
    <mergeCell ref="B125:H125"/>
    <mergeCell ref="B126:H126"/>
    <mergeCell ref="B127:H127"/>
    <mergeCell ref="B128:H128"/>
    <mergeCell ref="B129:H129"/>
    <mergeCell ref="B130:H130"/>
    <mergeCell ref="B131:H131"/>
    <mergeCell ref="A132:I132"/>
    <mergeCell ref="A133:J133"/>
    <mergeCell ref="A134:H134"/>
    <mergeCell ref="A135:C137"/>
    <mergeCell ref="D135:J135"/>
    <mergeCell ref="D136:J136"/>
    <mergeCell ref="D137:J137"/>
    <mergeCell ref="B147:I147"/>
    <mergeCell ref="A148:I148"/>
    <mergeCell ref="A149:J149"/>
    <mergeCell ref="A150:F150"/>
    <mergeCell ref="G150:J150"/>
    <mergeCell ref="A138:J138"/>
    <mergeCell ref="A139:J139"/>
    <mergeCell ref="A140:I140"/>
    <mergeCell ref="B141:I141"/>
    <mergeCell ref="B142:I142"/>
    <mergeCell ref="B143:I143"/>
    <mergeCell ref="B144:I144"/>
    <mergeCell ref="B145:I145"/>
    <mergeCell ref="A146:I146"/>
  </mergeCells>
  <printOptions horizontalCentered="1" verticalCentered="1"/>
  <pageMargins left="0" right="0" top="0" bottom="0.13888888888888901" header="0.511811023622047" footer="0"/>
  <pageSetup paperSize="9" pageOrder="overThenDown" orientation="portrait" horizontalDpi="300" verticalDpi="300"/>
  <headerFooter>
    <oddFooter>&amp;C&amp;10Página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J1048576"/>
  <sheetViews>
    <sheetView zoomScaleNormal="100" workbookViewId="0"/>
  </sheetViews>
  <sheetFormatPr defaultColWidth="8.83203125" defaultRowHeight="14.5" x14ac:dyDescent="0.3"/>
  <cols>
    <col min="1" max="1" width="9.33203125" style="66" customWidth="1"/>
    <col min="2" max="2" width="9.75" style="66" customWidth="1"/>
    <col min="3" max="7" width="10.33203125" style="66" customWidth="1"/>
    <col min="8" max="8" width="12.83203125" style="66" customWidth="1"/>
    <col min="9" max="9" width="9.75" style="66" customWidth="1"/>
    <col min="10" max="10" width="10.75" style="66" customWidth="1"/>
    <col min="11" max="257" width="10.33203125" style="66" customWidth="1"/>
    <col min="258" max="1024" width="8.83203125" style="66"/>
  </cols>
  <sheetData>
    <row r="1" spans="1:10" ht="21.75" customHeight="1" x14ac:dyDescent="0.3">
      <c r="A1" s="595" t="s">
        <v>298</v>
      </c>
      <c r="B1" s="595"/>
      <c r="C1" s="595"/>
      <c r="D1" s="595"/>
      <c r="E1" s="595"/>
      <c r="F1" s="595"/>
      <c r="G1" s="595"/>
      <c r="H1" s="595"/>
      <c r="I1" s="595"/>
      <c r="J1" s="595"/>
    </row>
    <row r="2" spans="1:10" ht="19.5" customHeight="1" x14ac:dyDescent="0.3">
      <c r="A2" s="596" t="s">
        <v>30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19.5" customHeight="1" x14ac:dyDescent="0.3">
      <c r="A3" s="568" t="s">
        <v>206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ht="19.5" customHeight="1" x14ac:dyDescent="0.3">
      <c r="A4" s="568" t="s">
        <v>207</v>
      </c>
      <c r="B4" s="568"/>
      <c r="C4" s="568"/>
      <c r="D4" s="568"/>
      <c r="E4" s="568"/>
      <c r="F4" s="568"/>
      <c r="G4" s="568"/>
      <c r="H4" s="568"/>
      <c r="I4" s="568"/>
      <c r="J4" s="568"/>
    </row>
    <row r="5" spans="1:10" ht="18.75" customHeight="1" x14ac:dyDescent="0.35">
      <c r="A5" s="567"/>
      <c r="B5" s="567"/>
      <c r="C5" s="567"/>
      <c r="D5" s="567"/>
      <c r="E5" s="567"/>
      <c r="F5" s="567"/>
      <c r="G5" s="567"/>
      <c r="H5" s="567"/>
      <c r="I5" s="567"/>
      <c r="J5" s="567"/>
    </row>
    <row r="6" spans="1:10" ht="19.5" customHeight="1" x14ac:dyDescent="0.3">
      <c r="A6" s="570" t="s">
        <v>33</v>
      </c>
      <c r="B6" s="570"/>
      <c r="C6" s="570"/>
      <c r="D6" s="570"/>
      <c r="E6" s="570"/>
      <c r="F6" s="570"/>
      <c r="G6" s="570"/>
      <c r="H6" s="570"/>
      <c r="I6" s="570"/>
      <c r="J6" s="570"/>
    </row>
    <row r="7" spans="1:10" ht="19.5" customHeight="1" x14ac:dyDescent="0.35">
      <c r="A7" s="67" t="s">
        <v>34</v>
      </c>
      <c r="B7" s="568" t="s">
        <v>35</v>
      </c>
      <c r="C7" s="568"/>
      <c r="D7" s="568"/>
      <c r="E7" s="568"/>
      <c r="F7" s="568"/>
      <c r="G7" s="568"/>
      <c r="H7" s="597" t="s">
        <v>164</v>
      </c>
      <c r="I7" s="597"/>
      <c r="J7" s="597"/>
    </row>
    <row r="8" spans="1:10" ht="19.5" customHeight="1" x14ac:dyDescent="0.3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  <c r="J8" s="593"/>
    </row>
    <row r="9" spans="1:10" ht="19.5" customHeight="1" x14ac:dyDescent="0.3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208</v>
      </c>
      <c r="I9" s="593"/>
      <c r="J9" s="593"/>
    </row>
    <row r="10" spans="1:10" ht="19.5" customHeight="1" x14ac:dyDescent="0.3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  <c r="J10" s="594"/>
    </row>
    <row r="11" spans="1:10" ht="18.75" customHeight="1" x14ac:dyDescent="0.35">
      <c r="A11" s="567"/>
      <c r="B11" s="567"/>
      <c r="C11" s="567"/>
      <c r="D11" s="567"/>
      <c r="E11" s="567"/>
      <c r="F11" s="567"/>
      <c r="G11" s="567"/>
      <c r="H11" s="567"/>
      <c r="I11" s="567"/>
      <c r="J11" s="567"/>
    </row>
    <row r="12" spans="1:10" ht="48" customHeight="1" x14ac:dyDescent="0.3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  <c r="J12" s="570"/>
    </row>
    <row r="13" spans="1:10" ht="18.75" customHeight="1" x14ac:dyDescent="0.35">
      <c r="A13" s="567"/>
      <c r="B13" s="567"/>
      <c r="C13" s="567"/>
      <c r="D13" s="567"/>
      <c r="E13" s="567"/>
      <c r="F13" s="567"/>
      <c r="G13" s="567"/>
      <c r="H13" s="567"/>
      <c r="I13" s="567"/>
      <c r="J13" s="567"/>
    </row>
    <row r="14" spans="1:10" ht="19.5" customHeight="1" x14ac:dyDescent="0.3">
      <c r="A14" s="586" t="s">
        <v>47</v>
      </c>
      <c r="B14" s="586"/>
      <c r="C14" s="586"/>
      <c r="D14" s="586"/>
      <c r="E14" s="586"/>
      <c r="F14" s="586"/>
      <c r="G14" s="586"/>
      <c r="H14" s="586"/>
      <c r="I14" s="586"/>
      <c r="J14" s="586"/>
    </row>
    <row r="15" spans="1:10" ht="19.5" customHeight="1" x14ac:dyDescent="0.3">
      <c r="A15" s="67">
        <v>1</v>
      </c>
      <c r="B15" s="568" t="s">
        <v>48</v>
      </c>
      <c r="C15" s="568"/>
      <c r="D15" s="568"/>
      <c r="E15" s="568"/>
      <c r="F15" s="568"/>
      <c r="G15" s="568"/>
      <c r="H15" s="575" t="s">
        <v>299</v>
      </c>
      <c r="I15" s="575"/>
      <c r="J15" s="575"/>
    </row>
    <row r="16" spans="1:10" ht="19.5" customHeight="1" x14ac:dyDescent="0.3">
      <c r="A16" s="67">
        <v>2</v>
      </c>
      <c r="B16" s="568" t="s">
        <v>49</v>
      </c>
      <c r="C16" s="568"/>
      <c r="D16" s="568"/>
      <c r="E16" s="568"/>
      <c r="F16" s="568"/>
      <c r="G16" s="568"/>
      <c r="H16" s="575">
        <v>7832</v>
      </c>
      <c r="I16" s="575"/>
      <c r="J16" s="575"/>
    </row>
    <row r="17" spans="1:10" ht="19.5" customHeight="1" x14ac:dyDescent="0.3">
      <c r="A17" s="67">
        <v>3</v>
      </c>
      <c r="B17" s="568" t="s">
        <v>285</v>
      </c>
      <c r="C17" s="568"/>
      <c r="D17" s="568"/>
      <c r="E17" s="568"/>
      <c r="F17" s="568"/>
      <c r="G17" s="568"/>
      <c r="H17" s="591">
        <v>1121.2</v>
      </c>
      <c r="I17" s="591"/>
      <c r="J17" s="591"/>
    </row>
    <row r="18" spans="1:10" ht="19.5" customHeight="1" x14ac:dyDescent="0.3">
      <c r="A18" s="67">
        <v>4</v>
      </c>
      <c r="B18" s="568" t="s">
        <v>51</v>
      </c>
      <c r="C18" s="568"/>
      <c r="D18" s="568"/>
      <c r="E18" s="568"/>
      <c r="F18" s="568"/>
      <c r="G18" s="568"/>
      <c r="H18" s="575" t="s">
        <v>299</v>
      </c>
      <c r="I18" s="575"/>
      <c r="J18" s="575"/>
    </row>
    <row r="19" spans="1:10" ht="19.5" customHeight="1" x14ac:dyDescent="0.3">
      <c r="A19" s="67">
        <v>5</v>
      </c>
      <c r="B19" s="568" t="s">
        <v>52</v>
      </c>
      <c r="C19" s="568"/>
      <c r="D19" s="568"/>
      <c r="E19" s="568"/>
      <c r="F19" s="568"/>
      <c r="G19" s="568"/>
      <c r="H19" s="592">
        <v>43831</v>
      </c>
      <c r="I19" s="592"/>
      <c r="J19" s="592"/>
    </row>
    <row r="20" spans="1:10" ht="18.75" customHeight="1" x14ac:dyDescent="0.35">
      <c r="A20" s="567"/>
      <c r="B20" s="567"/>
      <c r="C20" s="567"/>
      <c r="D20" s="567"/>
      <c r="E20" s="567"/>
      <c r="F20" s="567"/>
      <c r="G20" s="567"/>
      <c r="H20" s="567"/>
      <c r="I20" s="567"/>
      <c r="J20" s="567"/>
    </row>
    <row r="21" spans="1:10" ht="19.5" customHeight="1" x14ac:dyDescent="0.3">
      <c r="A21" s="577" t="s">
        <v>214</v>
      </c>
      <c r="B21" s="577"/>
      <c r="C21" s="577"/>
      <c r="D21" s="577"/>
      <c r="E21" s="577"/>
      <c r="F21" s="577"/>
      <c r="G21" s="577"/>
      <c r="H21" s="577"/>
      <c r="I21" s="577"/>
      <c r="J21" s="577"/>
    </row>
    <row r="22" spans="1:10" ht="19.5" customHeight="1" x14ac:dyDescent="0.3">
      <c r="A22" s="70">
        <v>1</v>
      </c>
      <c r="B22" s="579" t="s">
        <v>65</v>
      </c>
      <c r="C22" s="579"/>
      <c r="D22" s="579"/>
      <c r="E22" s="579"/>
      <c r="F22" s="579"/>
      <c r="G22" s="579"/>
      <c r="H22" s="579"/>
      <c r="I22" s="579"/>
      <c r="J22" s="70" t="s">
        <v>85</v>
      </c>
    </row>
    <row r="23" spans="1:10" ht="19.5" customHeight="1" x14ac:dyDescent="0.3">
      <c r="A23" s="67" t="s">
        <v>34</v>
      </c>
      <c r="B23" s="568" t="s">
        <v>292</v>
      </c>
      <c r="C23" s="568"/>
      <c r="D23" s="568"/>
      <c r="E23" s="568"/>
      <c r="F23" s="568"/>
      <c r="G23" s="568"/>
      <c r="H23" s="568"/>
      <c r="I23" s="568"/>
      <c r="J23" s="71">
        <f>H17</f>
        <v>1121.2</v>
      </c>
    </row>
    <row r="24" spans="1:10" ht="19.5" customHeight="1" x14ac:dyDescent="0.3">
      <c r="A24" s="67" t="s">
        <v>36</v>
      </c>
      <c r="B24" s="568" t="s">
        <v>74</v>
      </c>
      <c r="C24" s="568"/>
      <c r="D24" s="568"/>
      <c r="E24" s="568"/>
      <c r="F24" s="568"/>
      <c r="G24" s="568"/>
      <c r="H24" s="568"/>
      <c r="I24" s="568"/>
      <c r="J24" s="72"/>
    </row>
    <row r="25" spans="1:10" ht="19.5" customHeight="1" x14ac:dyDescent="0.3">
      <c r="A25" s="580" t="s">
        <v>75</v>
      </c>
      <c r="B25" s="580"/>
      <c r="C25" s="580"/>
      <c r="D25" s="580"/>
      <c r="E25" s="580"/>
      <c r="F25" s="580"/>
      <c r="G25" s="580"/>
      <c r="H25" s="580"/>
      <c r="I25" s="580"/>
      <c r="J25" s="73">
        <f>SUM(J23:J24)</f>
        <v>1121.2</v>
      </c>
    </row>
    <row r="26" spans="1:10" ht="18.75" customHeight="1" x14ac:dyDescent="0.35">
      <c r="A26" s="567"/>
      <c r="B26" s="567"/>
      <c r="C26" s="567"/>
      <c r="D26" s="567"/>
      <c r="E26" s="567"/>
      <c r="F26" s="567"/>
      <c r="G26" s="567"/>
      <c r="H26" s="567"/>
      <c r="I26" s="567"/>
      <c r="J26" s="567"/>
    </row>
    <row r="27" spans="1:10" ht="19.5" customHeight="1" x14ac:dyDescent="0.3">
      <c r="A27" s="577" t="s">
        <v>216</v>
      </c>
      <c r="B27" s="577"/>
      <c r="C27" s="577"/>
      <c r="D27" s="577"/>
      <c r="E27" s="577"/>
      <c r="F27" s="577"/>
      <c r="G27" s="577"/>
      <c r="H27" s="577"/>
      <c r="I27" s="577"/>
      <c r="J27" s="577"/>
    </row>
    <row r="28" spans="1:10" ht="20.25" customHeight="1" x14ac:dyDescent="0.3">
      <c r="A28" s="587" t="s">
        <v>217</v>
      </c>
      <c r="B28" s="587"/>
      <c r="C28" s="587"/>
      <c r="D28" s="587"/>
      <c r="E28" s="587"/>
      <c r="F28" s="587"/>
      <c r="G28" s="587"/>
      <c r="H28" s="587"/>
      <c r="I28" s="587"/>
      <c r="J28" s="587"/>
    </row>
    <row r="29" spans="1:10" ht="19.5" customHeight="1" x14ac:dyDescent="0.3">
      <c r="A29" s="74" t="s">
        <v>82</v>
      </c>
      <c r="B29" s="590" t="s">
        <v>118</v>
      </c>
      <c r="C29" s="590"/>
      <c r="D29" s="590"/>
      <c r="E29" s="590"/>
      <c r="F29" s="590"/>
      <c r="G29" s="590"/>
      <c r="H29" s="590"/>
      <c r="I29" s="590"/>
      <c r="J29" s="75" t="s">
        <v>85</v>
      </c>
    </row>
    <row r="30" spans="1:10" ht="40.5" customHeight="1" x14ac:dyDescent="0.3">
      <c r="A30" s="76" t="s">
        <v>34</v>
      </c>
      <c r="B30" s="568" t="s">
        <v>293</v>
      </c>
      <c r="C30" s="568"/>
      <c r="D30" s="568"/>
      <c r="E30" s="568"/>
      <c r="F30" s="568"/>
      <c r="G30" s="568"/>
      <c r="H30" s="568"/>
      <c r="I30" s="77">
        <v>8.3299999999999999E-2</v>
      </c>
      <c r="J30" s="78">
        <f>ROUND($J$25*I30,2)</f>
        <v>93.4</v>
      </c>
    </row>
    <row r="31" spans="1:10" ht="19.5" customHeight="1" x14ac:dyDescent="0.3">
      <c r="A31" s="76" t="s">
        <v>36</v>
      </c>
      <c r="B31" s="589" t="s">
        <v>87</v>
      </c>
      <c r="C31" s="589"/>
      <c r="D31" s="589"/>
      <c r="E31" s="589"/>
      <c r="F31" s="589"/>
      <c r="G31" s="589"/>
      <c r="H31" s="589"/>
      <c r="I31" s="79">
        <v>3.0249999999999999E-2</v>
      </c>
      <c r="J31" s="78">
        <f>ROUND($J$25*I31,2)</f>
        <v>33.92</v>
      </c>
    </row>
    <row r="32" spans="1:10" ht="18.75" customHeight="1" x14ac:dyDescent="0.3">
      <c r="A32" s="574" t="s">
        <v>75</v>
      </c>
      <c r="B32" s="574"/>
      <c r="C32" s="574"/>
      <c r="D32" s="574"/>
      <c r="E32" s="574"/>
      <c r="F32" s="574"/>
      <c r="G32" s="574"/>
      <c r="H32" s="574"/>
      <c r="I32" s="574"/>
      <c r="J32" s="80">
        <f>SUM(J30+J31)</f>
        <v>127.32000000000001</v>
      </c>
    </row>
    <row r="33" spans="1:13" ht="18.75" customHeight="1" x14ac:dyDescent="0.35">
      <c r="A33" s="76" t="s">
        <v>38</v>
      </c>
      <c r="B33" s="573" t="s">
        <v>219</v>
      </c>
      <c r="C33" s="573"/>
      <c r="D33" s="573"/>
      <c r="E33" s="573"/>
      <c r="F33" s="573"/>
      <c r="G33" s="573"/>
      <c r="H33" s="573"/>
      <c r="I33" s="573"/>
      <c r="J33" s="81">
        <f>ROUND(I46*J32,2)</f>
        <v>45.56</v>
      </c>
      <c r="M33" s="82"/>
    </row>
    <row r="34" spans="1:13" ht="18.75" customHeight="1" x14ac:dyDescent="0.3">
      <c r="A34" s="574" t="s">
        <v>75</v>
      </c>
      <c r="B34" s="574"/>
      <c r="C34" s="574"/>
      <c r="D34" s="574"/>
      <c r="E34" s="574"/>
      <c r="F34" s="574"/>
      <c r="G34" s="574"/>
      <c r="H34" s="574"/>
      <c r="I34" s="574"/>
      <c r="J34" s="83">
        <f>J32+J33</f>
        <v>172.88</v>
      </c>
    </row>
    <row r="35" spans="1:13" ht="18.75" customHeight="1" x14ac:dyDescent="0.35">
      <c r="A35" s="567"/>
      <c r="B35" s="567"/>
      <c r="C35" s="567"/>
      <c r="D35" s="567"/>
      <c r="E35" s="567"/>
      <c r="F35" s="567"/>
      <c r="G35" s="567"/>
      <c r="H35" s="567"/>
      <c r="I35" s="567"/>
      <c r="J35" s="567"/>
    </row>
    <row r="36" spans="1:13" ht="18.75" customHeight="1" x14ac:dyDescent="0.3">
      <c r="A36" s="587" t="s">
        <v>220</v>
      </c>
      <c r="B36" s="587"/>
      <c r="C36" s="587"/>
      <c r="D36" s="587"/>
      <c r="E36" s="587"/>
      <c r="F36" s="587"/>
      <c r="G36" s="587"/>
      <c r="H36" s="587"/>
      <c r="I36" s="587"/>
      <c r="J36" s="587"/>
    </row>
    <row r="37" spans="1:13" ht="19.5" customHeight="1" x14ac:dyDescent="0.3">
      <c r="A37" s="74" t="s">
        <v>89</v>
      </c>
      <c r="B37" s="582" t="s">
        <v>90</v>
      </c>
      <c r="C37" s="582"/>
      <c r="D37" s="582"/>
      <c r="E37" s="582"/>
      <c r="F37" s="582"/>
      <c r="G37" s="582"/>
      <c r="H37" s="582"/>
      <c r="I37" s="75" t="s">
        <v>221</v>
      </c>
      <c r="J37" s="75" t="s">
        <v>85</v>
      </c>
    </row>
    <row r="38" spans="1:13" ht="18.75" customHeight="1" x14ac:dyDescent="0.3">
      <c r="A38" s="76" t="s">
        <v>34</v>
      </c>
      <c r="B38" s="573" t="s">
        <v>91</v>
      </c>
      <c r="C38" s="573"/>
      <c r="D38" s="573"/>
      <c r="E38" s="573"/>
      <c r="F38" s="573"/>
      <c r="G38" s="573"/>
      <c r="H38" s="573"/>
      <c r="I38" s="84">
        <v>0.2</v>
      </c>
      <c r="J38" s="81">
        <f t="shared" ref="J38:J45" si="0">ROUND($J$25*I38,2)</f>
        <v>224.24</v>
      </c>
    </row>
    <row r="39" spans="1:13" ht="18.75" customHeight="1" x14ac:dyDescent="0.3">
      <c r="A39" s="76" t="s">
        <v>36</v>
      </c>
      <c r="B39" s="573" t="s">
        <v>92</v>
      </c>
      <c r="C39" s="573"/>
      <c r="D39" s="573"/>
      <c r="E39" s="573"/>
      <c r="F39" s="573"/>
      <c r="G39" s="573"/>
      <c r="H39" s="573"/>
      <c r="I39" s="84">
        <v>2.5000000000000001E-2</v>
      </c>
      <c r="J39" s="81">
        <f t="shared" si="0"/>
        <v>28.03</v>
      </c>
    </row>
    <row r="40" spans="1:13" ht="51.75" customHeight="1" x14ac:dyDescent="0.3">
      <c r="A40" s="76" t="s">
        <v>38</v>
      </c>
      <c r="B40" s="568" t="s">
        <v>289</v>
      </c>
      <c r="C40" s="568"/>
      <c r="D40" s="568"/>
      <c r="E40" s="67" t="s">
        <v>94</v>
      </c>
      <c r="F40" s="85">
        <v>0.02</v>
      </c>
      <c r="G40" s="67" t="s">
        <v>95</v>
      </c>
      <c r="H40" s="86">
        <v>0.99</v>
      </c>
      <c r="I40" s="87">
        <f>ROUND((F40*H40),6)</f>
        <v>1.9800000000000002E-2</v>
      </c>
      <c r="J40" s="81">
        <f t="shared" si="0"/>
        <v>22.2</v>
      </c>
    </row>
    <row r="41" spans="1:13" ht="18.75" customHeight="1" x14ac:dyDescent="0.3">
      <c r="A41" s="76" t="s">
        <v>40</v>
      </c>
      <c r="B41" s="573" t="s">
        <v>96</v>
      </c>
      <c r="C41" s="573"/>
      <c r="D41" s="573"/>
      <c r="E41" s="573"/>
      <c r="F41" s="573"/>
      <c r="G41" s="573"/>
      <c r="H41" s="573"/>
      <c r="I41" s="84">
        <v>1.4999999999999999E-2</v>
      </c>
      <c r="J41" s="81">
        <f t="shared" si="0"/>
        <v>16.82</v>
      </c>
    </row>
    <row r="42" spans="1:13" ht="18.75" customHeight="1" x14ac:dyDescent="0.3">
      <c r="A42" s="76" t="s">
        <v>73</v>
      </c>
      <c r="B42" s="573" t="s">
        <v>97</v>
      </c>
      <c r="C42" s="573"/>
      <c r="D42" s="573"/>
      <c r="E42" s="573"/>
      <c r="F42" s="573"/>
      <c r="G42" s="573"/>
      <c r="H42" s="573"/>
      <c r="I42" s="84">
        <v>0.01</v>
      </c>
      <c r="J42" s="81">
        <f t="shared" si="0"/>
        <v>11.21</v>
      </c>
    </row>
    <row r="43" spans="1:13" ht="18.75" customHeight="1" x14ac:dyDescent="0.3">
      <c r="A43" s="76" t="s">
        <v>76</v>
      </c>
      <c r="B43" s="573" t="s">
        <v>98</v>
      </c>
      <c r="C43" s="573"/>
      <c r="D43" s="573"/>
      <c r="E43" s="573"/>
      <c r="F43" s="573"/>
      <c r="G43" s="573"/>
      <c r="H43" s="573"/>
      <c r="I43" s="84">
        <v>6.0000000000000001E-3</v>
      </c>
      <c r="J43" s="81">
        <f t="shared" si="0"/>
        <v>6.73</v>
      </c>
    </row>
    <row r="44" spans="1:13" ht="18.75" customHeight="1" x14ac:dyDescent="0.3">
      <c r="A44" s="76" t="s">
        <v>99</v>
      </c>
      <c r="B44" s="573" t="s">
        <v>100</v>
      </c>
      <c r="C44" s="573"/>
      <c r="D44" s="573"/>
      <c r="E44" s="573"/>
      <c r="F44" s="573"/>
      <c r="G44" s="573"/>
      <c r="H44" s="573"/>
      <c r="I44" s="84">
        <v>2E-3</v>
      </c>
      <c r="J44" s="81">
        <f t="shared" si="0"/>
        <v>2.2400000000000002</v>
      </c>
    </row>
    <row r="45" spans="1:13" ht="18.75" customHeight="1" x14ac:dyDescent="0.3">
      <c r="A45" s="76" t="s">
        <v>101</v>
      </c>
      <c r="B45" s="573" t="s">
        <v>102</v>
      </c>
      <c r="C45" s="573"/>
      <c r="D45" s="573"/>
      <c r="E45" s="573"/>
      <c r="F45" s="573"/>
      <c r="G45" s="573"/>
      <c r="H45" s="573"/>
      <c r="I45" s="84">
        <v>0.08</v>
      </c>
      <c r="J45" s="81">
        <f t="shared" si="0"/>
        <v>89.7</v>
      </c>
    </row>
    <row r="46" spans="1:13" ht="18.75" customHeight="1" x14ac:dyDescent="0.3">
      <c r="A46" s="574" t="s">
        <v>75</v>
      </c>
      <c r="B46" s="574"/>
      <c r="C46" s="574"/>
      <c r="D46" s="574"/>
      <c r="E46" s="574"/>
      <c r="F46" s="574"/>
      <c r="G46" s="574"/>
      <c r="H46" s="574"/>
      <c r="I46" s="88">
        <f>SUM(I38:I45)</f>
        <v>0.35780000000000006</v>
      </c>
      <c r="J46" s="83">
        <f>SUM(J38:J45)</f>
        <v>401.17</v>
      </c>
    </row>
    <row r="47" spans="1:13" ht="18.75" customHeight="1" x14ac:dyDescent="0.35">
      <c r="A47" s="567"/>
      <c r="B47" s="567"/>
      <c r="C47" s="567"/>
      <c r="D47" s="567"/>
      <c r="E47" s="567"/>
      <c r="F47" s="567"/>
      <c r="G47" s="567"/>
      <c r="H47" s="567"/>
      <c r="I47" s="567"/>
      <c r="J47" s="567"/>
    </row>
    <row r="48" spans="1:13" ht="18.75" customHeight="1" x14ac:dyDescent="0.3">
      <c r="A48" s="587" t="s">
        <v>103</v>
      </c>
      <c r="B48" s="587"/>
      <c r="C48" s="587"/>
      <c r="D48" s="587"/>
      <c r="E48" s="587"/>
      <c r="F48" s="587"/>
      <c r="G48" s="587"/>
      <c r="H48" s="587"/>
      <c r="I48" s="587"/>
      <c r="J48" s="587"/>
    </row>
    <row r="49" spans="1:10" ht="19.5" customHeight="1" x14ac:dyDescent="0.3">
      <c r="A49" s="74" t="s">
        <v>104</v>
      </c>
      <c r="B49" s="582" t="s">
        <v>105</v>
      </c>
      <c r="C49" s="582"/>
      <c r="D49" s="582"/>
      <c r="E49" s="582"/>
      <c r="F49" s="582"/>
      <c r="G49" s="582"/>
      <c r="H49" s="582"/>
      <c r="I49" s="582"/>
      <c r="J49" s="75" t="s">
        <v>85</v>
      </c>
    </row>
    <row r="50" spans="1:10" ht="30.75" customHeight="1" x14ac:dyDescent="0.3">
      <c r="A50" s="76" t="s">
        <v>34</v>
      </c>
      <c r="B50" s="568" t="s">
        <v>223</v>
      </c>
      <c r="C50" s="568"/>
      <c r="D50" s="568"/>
      <c r="E50" s="568"/>
      <c r="F50" s="568"/>
      <c r="G50" s="568"/>
      <c r="H50" s="568"/>
      <c r="I50" s="568"/>
      <c r="J50" s="81">
        <f>IF(ROUND((I53*I51*I52)-(J23*0.06),2)&lt;0,0,ROUND((I53*I51*I52)-(J23*0.06),2))*1+(I51*I52*21.726-0.06*J23)*0</f>
        <v>91.13</v>
      </c>
    </row>
    <row r="51" spans="1:10" ht="18.75" customHeight="1" x14ac:dyDescent="0.3">
      <c r="A51" s="76"/>
      <c r="B51" s="573" t="s">
        <v>224</v>
      </c>
      <c r="C51" s="573"/>
      <c r="D51" s="573"/>
      <c r="E51" s="573"/>
      <c r="F51" s="573"/>
      <c r="G51" s="573"/>
      <c r="H51" s="573"/>
      <c r="I51" s="89">
        <v>3.6</v>
      </c>
      <c r="J51" s="90" t="s">
        <v>164</v>
      </c>
    </row>
    <row r="52" spans="1:10" ht="18.75" customHeight="1" x14ac:dyDescent="0.3">
      <c r="A52" s="76"/>
      <c r="B52" s="573" t="s">
        <v>225</v>
      </c>
      <c r="C52" s="573"/>
      <c r="D52" s="573"/>
      <c r="E52" s="573"/>
      <c r="F52" s="573"/>
      <c r="G52" s="573"/>
      <c r="H52" s="573"/>
      <c r="I52" s="91">
        <v>2</v>
      </c>
      <c r="J52" s="90"/>
    </row>
    <row r="53" spans="1:10" ht="18.75" customHeight="1" x14ac:dyDescent="0.3">
      <c r="A53" s="76"/>
      <c r="B53" s="573" t="s">
        <v>226</v>
      </c>
      <c r="C53" s="573"/>
      <c r="D53" s="573"/>
      <c r="E53" s="573"/>
      <c r="F53" s="573"/>
      <c r="G53" s="573"/>
      <c r="H53" s="573"/>
      <c r="I53" s="92">
        <v>22</v>
      </c>
      <c r="J53" s="90"/>
    </row>
    <row r="54" spans="1:10" ht="30.75" customHeight="1" x14ac:dyDescent="0.3">
      <c r="A54" s="76" t="s">
        <v>36</v>
      </c>
      <c r="B54" s="568" t="s">
        <v>227</v>
      </c>
      <c r="C54" s="568"/>
      <c r="D54" s="568"/>
      <c r="E54" s="568"/>
      <c r="F54" s="568"/>
      <c r="G54" s="568"/>
      <c r="H54" s="568"/>
      <c r="I54" s="568"/>
      <c r="J54" s="81">
        <f>ROUND(I56*I55*(1-0.01),2)*1+ROUND(21.726*6*(1-0.01),2)*0</f>
        <v>435.6</v>
      </c>
    </row>
    <row r="55" spans="1:10" ht="18.75" customHeight="1" x14ac:dyDescent="0.3">
      <c r="A55" s="76"/>
      <c r="B55" s="573" t="s">
        <v>228</v>
      </c>
      <c r="C55" s="573"/>
      <c r="D55" s="573"/>
      <c r="E55" s="573"/>
      <c r="F55" s="573"/>
      <c r="G55" s="573"/>
      <c r="H55" s="573"/>
      <c r="I55" s="89">
        <v>20</v>
      </c>
      <c r="J55" s="90" t="s">
        <v>164</v>
      </c>
    </row>
    <row r="56" spans="1:10" ht="18.75" customHeight="1" x14ac:dyDescent="0.3">
      <c r="A56" s="113"/>
      <c r="B56" s="573" t="s">
        <v>229</v>
      </c>
      <c r="C56" s="573"/>
      <c r="D56" s="573"/>
      <c r="E56" s="573"/>
      <c r="F56" s="573"/>
      <c r="G56" s="573"/>
      <c r="H56" s="573"/>
      <c r="I56" s="92">
        <v>22</v>
      </c>
      <c r="J56" s="90"/>
    </row>
    <row r="57" spans="1:10" ht="19.5" customHeight="1" x14ac:dyDescent="0.3">
      <c r="A57" s="76" t="s">
        <v>38</v>
      </c>
      <c r="B57" s="568" t="s">
        <v>230</v>
      </c>
      <c r="C57" s="568"/>
      <c r="D57" s="568"/>
      <c r="E57" s="568"/>
      <c r="F57" s="568"/>
      <c r="G57" s="568"/>
      <c r="H57" s="568"/>
      <c r="I57" s="568"/>
      <c r="J57" s="112"/>
    </row>
    <row r="58" spans="1:10" ht="19.5" customHeight="1" x14ac:dyDescent="0.3">
      <c r="A58" s="76" t="s">
        <v>40</v>
      </c>
      <c r="B58" s="568" t="s">
        <v>231</v>
      </c>
      <c r="C58" s="568"/>
      <c r="D58" s="568"/>
      <c r="E58" s="568"/>
      <c r="F58" s="568"/>
      <c r="G58" s="568"/>
      <c r="H58" s="568"/>
      <c r="I58" s="568"/>
      <c r="J58" s="81">
        <v>0.25</v>
      </c>
    </row>
    <row r="59" spans="1:10" ht="19.5" customHeight="1" x14ac:dyDescent="0.3">
      <c r="A59" s="76" t="s">
        <v>73</v>
      </c>
      <c r="B59" s="568" t="s">
        <v>232</v>
      </c>
      <c r="C59" s="568"/>
      <c r="D59" s="568"/>
      <c r="E59" s="568"/>
      <c r="F59" s="568"/>
      <c r="G59" s="568"/>
      <c r="H59" s="568"/>
      <c r="I59" s="568"/>
      <c r="J59" s="93">
        <v>75</v>
      </c>
    </row>
    <row r="60" spans="1:10" ht="19.5" customHeight="1" x14ac:dyDescent="0.3">
      <c r="A60" s="76" t="s">
        <v>76</v>
      </c>
      <c r="B60" s="573" t="s">
        <v>233</v>
      </c>
      <c r="C60" s="573"/>
      <c r="D60" s="573"/>
      <c r="E60" s="573"/>
      <c r="F60" s="573"/>
      <c r="G60" s="573"/>
      <c r="H60" s="573"/>
      <c r="I60" s="573"/>
      <c r="J60" s="93">
        <v>1.35</v>
      </c>
    </row>
    <row r="61" spans="1:10" ht="18.75" customHeight="1" x14ac:dyDescent="0.3">
      <c r="A61" s="574" t="s">
        <v>75</v>
      </c>
      <c r="B61" s="574"/>
      <c r="C61" s="574"/>
      <c r="D61" s="574"/>
      <c r="E61" s="574"/>
      <c r="F61" s="574"/>
      <c r="G61" s="574"/>
      <c r="H61" s="574"/>
      <c r="I61" s="574"/>
      <c r="J61" s="83">
        <f>SUM(J50:J60)</f>
        <v>603.33000000000004</v>
      </c>
    </row>
    <row r="62" spans="1:10" ht="18.75" customHeight="1" x14ac:dyDescent="0.35">
      <c r="A62" s="567"/>
      <c r="B62" s="567"/>
      <c r="C62" s="567"/>
      <c r="D62" s="567"/>
      <c r="E62" s="567"/>
      <c r="F62" s="567"/>
      <c r="G62" s="567"/>
      <c r="H62" s="567"/>
      <c r="I62" s="567"/>
      <c r="J62" s="567"/>
    </row>
    <row r="63" spans="1:10" ht="18.75" customHeight="1" x14ac:dyDescent="0.3">
      <c r="A63" s="587" t="s">
        <v>234</v>
      </c>
      <c r="B63" s="587"/>
      <c r="C63" s="587"/>
      <c r="D63" s="587"/>
      <c r="E63" s="587"/>
      <c r="F63" s="587"/>
      <c r="G63" s="587"/>
      <c r="H63" s="587"/>
      <c r="I63" s="587"/>
      <c r="J63" s="587"/>
    </row>
    <row r="64" spans="1:10" ht="19.5" customHeight="1" x14ac:dyDescent="0.3">
      <c r="A64" s="70">
        <v>2</v>
      </c>
      <c r="B64" s="579" t="s">
        <v>117</v>
      </c>
      <c r="C64" s="579"/>
      <c r="D64" s="579"/>
      <c r="E64" s="579"/>
      <c r="F64" s="579"/>
      <c r="G64" s="579"/>
      <c r="H64" s="579"/>
      <c r="I64" s="579"/>
      <c r="J64" s="70" t="s">
        <v>85</v>
      </c>
    </row>
    <row r="65" spans="1:11" ht="19.5" customHeight="1" x14ac:dyDescent="0.3">
      <c r="A65" s="67" t="s">
        <v>82</v>
      </c>
      <c r="B65" s="67"/>
      <c r="C65" s="568" t="s">
        <v>118</v>
      </c>
      <c r="D65" s="568"/>
      <c r="E65" s="568"/>
      <c r="F65" s="568"/>
      <c r="G65" s="568"/>
      <c r="H65" s="568"/>
      <c r="I65" s="568"/>
      <c r="J65" s="94">
        <f>J34</f>
        <v>172.88</v>
      </c>
    </row>
    <row r="66" spans="1:11" ht="19.5" customHeight="1" x14ac:dyDescent="0.3">
      <c r="A66" s="67" t="s">
        <v>89</v>
      </c>
      <c r="B66" s="67"/>
      <c r="C66" s="568" t="s">
        <v>90</v>
      </c>
      <c r="D66" s="568"/>
      <c r="E66" s="568"/>
      <c r="F66" s="568"/>
      <c r="G66" s="568"/>
      <c r="H66" s="568"/>
      <c r="I66" s="568"/>
      <c r="J66" s="94">
        <f>J46</f>
        <v>401.17</v>
      </c>
    </row>
    <row r="67" spans="1:11" ht="19.5" customHeight="1" x14ac:dyDescent="0.3">
      <c r="A67" s="67" t="s">
        <v>104</v>
      </c>
      <c r="B67" s="67"/>
      <c r="C67" s="568" t="s">
        <v>105</v>
      </c>
      <c r="D67" s="568"/>
      <c r="E67" s="568"/>
      <c r="F67" s="568"/>
      <c r="G67" s="568"/>
      <c r="H67" s="568"/>
      <c r="I67" s="568"/>
      <c r="J67" s="94">
        <f>J61</f>
        <v>603.33000000000004</v>
      </c>
    </row>
    <row r="68" spans="1:11" ht="19.5" customHeight="1" x14ac:dyDescent="0.3">
      <c r="A68" s="580" t="s">
        <v>75</v>
      </c>
      <c r="B68" s="580"/>
      <c r="C68" s="580"/>
      <c r="D68" s="580"/>
      <c r="E68" s="580"/>
      <c r="F68" s="580"/>
      <c r="G68" s="580"/>
      <c r="H68" s="580"/>
      <c r="I68" s="580"/>
      <c r="J68" s="95">
        <f>SUM(J65+J66+J67)</f>
        <v>1177.3800000000001</v>
      </c>
    </row>
    <row r="69" spans="1:11" ht="18.75" customHeight="1" x14ac:dyDescent="0.35">
      <c r="A69" s="567"/>
      <c r="B69" s="567"/>
      <c r="C69" s="567"/>
      <c r="D69" s="567"/>
      <c r="E69" s="567"/>
      <c r="F69" s="567"/>
      <c r="G69" s="567"/>
      <c r="H69" s="567"/>
      <c r="I69" s="567"/>
      <c r="J69" s="567"/>
    </row>
    <row r="70" spans="1:11" ht="19.5" customHeight="1" x14ac:dyDescent="0.3">
      <c r="A70" s="577" t="s">
        <v>235</v>
      </c>
      <c r="B70" s="577"/>
      <c r="C70" s="577"/>
      <c r="D70" s="577"/>
      <c r="E70" s="577"/>
      <c r="F70" s="577"/>
      <c r="G70" s="577"/>
      <c r="H70" s="577"/>
      <c r="I70" s="577"/>
      <c r="J70" s="577"/>
    </row>
    <row r="71" spans="1:11" ht="19.5" customHeight="1" x14ac:dyDescent="0.3">
      <c r="A71" s="96">
        <v>3</v>
      </c>
      <c r="B71" s="579" t="s">
        <v>120</v>
      </c>
      <c r="C71" s="579"/>
      <c r="D71" s="579"/>
      <c r="E71" s="579"/>
      <c r="F71" s="579"/>
      <c r="G71" s="579"/>
      <c r="H71" s="579"/>
      <c r="I71" s="579"/>
      <c r="J71" s="96" t="s">
        <v>121</v>
      </c>
    </row>
    <row r="72" spans="1:11" ht="41.25" customHeight="1" x14ac:dyDescent="0.3">
      <c r="A72" s="76" t="s">
        <v>34</v>
      </c>
      <c r="B72" s="568" t="s">
        <v>294</v>
      </c>
      <c r="C72" s="568"/>
      <c r="D72" s="568"/>
      <c r="E72" s="568"/>
      <c r="F72" s="568"/>
      <c r="G72" s="568"/>
      <c r="H72" s="568"/>
      <c r="I72" s="568"/>
      <c r="J72" s="81">
        <f>ROUND((($J$25/12)+($J$30/12)+($J$25/12/12)+($J$31/12))*(3/30)*0.05,2)</f>
        <v>0.56000000000000005</v>
      </c>
      <c r="K72" s="97"/>
    </row>
    <row r="73" spans="1:11" ht="19.5" customHeight="1" x14ac:dyDescent="0.3">
      <c r="A73" s="76" t="s">
        <v>36</v>
      </c>
      <c r="B73" s="568" t="s">
        <v>123</v>
      </c>
      <c r="C73" s="568"/>
      <c r="D73" s="568"/>
      <c r="E73" s="568"/>
      <c r="F73" s="568"/>
      <c r="G73" s="568"/>
      <c r="H73" s="568"/>
      <c r="I73" s="568"/>
      <c r="J73" s="81">
        <f>ROUND($J$72*I45,2)</f>
        <v>0.04</v>
      </c>
    </row>
    <row r="74" spans="1:11" ht="41.25" customHeight="1" x14ac:dyDescent="0.3">
      <c r="A74" s="76" t="s">
        <v>38</v>
      </c>
      <c r="B74" s="568" t="s">
        <v>295</v>
      </c>
      <c r="C74" s="568"/>
      <c r="D74" s="568"/>
      <c r="E74" s="568"/>
      <c r="F74" s="568"/>
      <c r="G74" s="568"/>
      <c r="H74" s="568"/>
      <c r="I74" s="98">
        <v>1.9E-3</v>
      </c>
      <c r="J74" s="81">
        <f>ROUND($J$25*I74,2)</f>
        <v>2.13</v>
      </c>
    </row>
    <row r="75" spans="1:11" ht="30.75" customHeight="1" x14ac:dyDescent="0.3">
      <c r="A75" s="76" t="s">
        <v>40</v>
      </c>
      <c r="B75" s="568" t="s">
        <v>296</v>
      </c>
      <c r="C75" s="568"/>
      <c r="D75" s="568"/>
      <c r="E75" s="568"/>
      <c r="F75" s="568"/>
      <c r="G75" s="568"/>
      <c r="H75" s="568"/>
      <c r="I75" s="568"/>
      <c r="J75" s="81">
        <f>0.00194*J25</f>
        <v>2.1751280000000004</v>
      </c>
    </row>
    <row r="76" spans="1:11" ht="19.5" customHeight="1" x14ac:dyDescent="0.3">
      <c r="A76" s="76" t="s">
        <v>73</v>
      </c>
      <c r="B76" s="568" t="s">
        <v>239</v>
      </c>
      <c r="C76" s="568"/>
      <c r="D76" s="568"/>
      <c r="E76" s="568"/>
      <c r="F76" s="568"/>
      <c r="G76" s="568"/>
      <c r="H76" s="568"/>
      <c r="I76" s="568"/>
      <c r="J76" s="81">
        <f>J75*I46</f>
        <v>0.77826079840000029</v>
      </c>
    </row>
    <row r="77" spans="1:11" ht="41.25" customHeight="1" x14ac:dyDescent="0.3">
      <c r="A77" s="76" t="s">
        <v>76</v>
      </c>
      <c r="B77" s="568" t="s">
        <v>297</v>
      </c>
      <c r="C77" s="568"/>
      <c r="D77" s="568"/>
      <c r="E77" s="568"/>
      <c r="F77" s="568"/>
      <c r="G77" s="568"/>
      <c r="H77" s="568"/>
      <c r="I77" s="98">
        <v>3.8100000000000002E-2</v>
      </c>
      <c r="J77" s="81">
        <f>ROUND($J$25*I77,2)</f>
        <v>42.72</v>
      </c>
    </row>
    <row r="78" spans="1:11" ht="18.75" customHeight="1" x14ac:dyDescent="0.3">
      <c r="A78" s="574" t="s">
        <v>75</v>
      </c>
      <c r="B78" s="574"/>
      <c r="C78" s="574"/>
      <c r="D78" s="574"/>
      <c r="E78" s="574"/>
      <c r="F78" s="574"/>
      <c r="G78" s="574"/>
      <c r="H78" s="574"/>
      <c r="I78" s="574"/>
      <c r="J78" s="83">
        <f>SUM(J72:J77)</f>
        <v>48.403388798400002</v>
      </c>
    </row>
    <row r="79" spans="1:11" ht="18.75" customHeight="1" x14ac:dyDescent="0.35">
      <c r="A79" s="567"/>
      <c r="B79" s="567"/>
      <c r="C79" s="567"/>
      <c r="D79" s="567"/>
      <c r="E79" s="567"/>
      <c r="F79" s="567"/>
      <c r="G79" s="567"/>
      <c r="H79" s="567"/>
      <c r="I79" s="567"/>
      <c r="J79" s="567"/>
    </row>
    <row r="80" spans="1:11" ht="19.5" customHeight="1" x14ac:dyDescent="0.3">
      <c r="A80" s="577" t="s">
        <v>241</v>
      </c>
      <c r="B80" s="577"/>
      <c r="C80" s="577"/>
      <c r="D80" s="577"/>
      <c r="E80" s="577"/>
      <c r="F80" s="577"/>
      <c r="G80" s="577"/>
      <c r="H80" s="577"/>
      <c r="I80" s="577"/>
      <c r="J80" s="577"/>
    </row>
    <row r="81" spans="1:10" ht="19.5" customHeight="1" x14ac:dyDescent="0.3">
      <c r="A81" s="585" t="s">
        <v>279</v>
      </c>
      <c r="B81" s="585"/>
      <c r="C81" s="585"/>
      <c r="D81" s="585"/>
      <c r="E81" s="585"/>
      <c r="F81" s="585"/>
      <c r="G81" s="585"/>
      <c r="H81" s="585"/>
      <c r="I81" s="585"/>
      <c r="J81" s="99">
        <f>J85+J25+J30+J31</f>
        <v>1350.2700000000002</v>
      </c>
    </row>
    <row r="82" spans="1:10" ht="18.75" customHeight="1" x14ac:dyDescent="0.35">
      <c r="A82" s="567"/>
      <c r="B82" s="567"/>
      <c r="C82" s="567"/>
      <c r="D82" s="567"/>
      <c r="E82" s="567"/>
      <c r="F82" s="567"/>
      <c r="G82" s="567"/>
      <c r="H82" s="567"/>
      <c r="I82" s="567"/>
      <c r="J82" s="567"/>
    </row>
    <row r="83" spans="1:10" ht="19.5" customHeight="1" x14ac:dyDescent="0.3">
      <c r="A83" s="586" t="s">
        <v>243</v>
      </c>
      <c r="B83" s="586"/>
      <c r="C83" s="586"/>
      <c r="D83" s="586"/>
      <c r="E83" s="586"/>
      <c r="F83" s="586"/>
      <c r="G83" s="586"/>
      <c r="H83" s="586"/>
      <c r="I83" s="586"/>
      <c r="J83" s="586"/>
    </row>
    <row r="84" spans="1:10" ht="18.75" customHeight="1" x14ac:dyDescent="0.3">
      <c r="A84" s="74" t="s">
        <v>134</v>
      </c>
      <c r="B84" s="582" t="s">
        <v>244</v>
      </c>
      <c r="C84" s="582"/>
      <c r="D84" s="582"/>
      <c r="E84" s="582"/>
      <c r="F84" s="582"/>
      <c r="G84" s="582"/>
      <c r="H84" s="582"/>
      <c r="I84" s="582"/>
      <c r="J84" s="74" t="s">
        <v>85</v>
      </c>
    </row>
    <row r="85" spans="1:10" ht="42" customHeight="1" x14ac:dyDescent="0.3">
      <c r="A85" s="76" t="s">
        <v>34</v>
      </c>
      <c r="B85" s="568" t="s">
        <v>245</v>
      </c>
      <c r="C85" s="568"/>
      <c r="D85" s="568"/>
      <c r="E85" s="568"/>
      <c r="F85" s="568"/>
      <c r="G85" s="568"/>
      <c r="H85" s="568"/>
      <c r="I85" s="79">
        <v>9.0749999999999997E-2</v>
      </c>
      <c r="J85" s="81">
        <f>ROUND(($J$25*I85),2)</f>
        <v>101.75</v>
      </c>
    </row>
    <row r="86" spans="1:10" ht="30.75" customHeight="1" x14ac:dyDescent="0.3">
      <c r="A86" s="76" t="s">
        <v>36</v>
      </c>
      <c r="B86" s="568" t="s">
        <v>246</v>
      </c>
      <c r="C86" s="568"/>
      <c r="D86" s="568"/>
      <c r="E86" s="568"/>
      <c r="F86" s="568"/>
      <c r="G86" s="568"/>
      <c r="H86" s="568"/>
      <c r="I86" s="568"/>
      <c r="J86" s="91">
        <f>ROUND((($J$81/30)*2.96)/12,2)</f>
        <v>11.1</v>
      </c>
    </row>
    <row r="87" spans="1:10" ht="30.75" customHeight="1" x14ac:dyDescent="0.3">
      <c r="A87" s="76" t="s">
        <v>38</v>
      </c>
      <c r="B87" s="568" t="s">
        <v>247</v>
      </c>
      <c r="C87" s="568"/>
      <c r="D87" s="568"/>
      <c r="E87" s="568"/>
      <c r="F87" s="568"/>
      <c r="G87" s="568"/>
      <c r="H87" s="568"/>
      <c r="I87" s="568"/>
      <c r="J87" s="91">
        <f>ROUND((($J$81/30)*5)/12*0.015,2)</f>
        <v>0.28000000000000003</v>
      </c>
    </row>
    <row r="88" spans="1:10" ht="30.75" customHeight="1" x14ac:dyDescent="0.3">
      <c r="A88" s="76" t="s">
        <v>40</v>
      </c>
      <c r="B88" s="568" t="s">
        <v>248</v>
      </c>
      <c r="C88" s="568"/>
      <c r="D88" s="568"/>
      <c r="E88" s="568"/>
      <c r="F88" s="568"/>
      <c r="G88" s="568"/>
      <c r="H88" s="568"/>
      <c r="I88" s="568"/>
      <c r="J88" s="81">
        <f>ROUND(((($J$81/30)*15)/12)*0.0078,2)</f>
        <v>0.44</v>
      </c>
    </row>
    <row r="89" spans="1:10" ht="30.75" customHeight="1" x14ac:dyDescent="0.3">
      <c r="A89" s="76" t="s">
        <v>76</v>
      </c>
      <c r="B89" s="568" t="s">
        <v>250</v>
      </c>
      <c r="C89" s="568"/>
      <c r="D89" s="568"/>
      <c r="E89" s="568"/>
      <c r="F89" s="568"/>
      <c r="G89" s="568"/>
      <c r="H89" s="568"/>
      <c r="I89" s="568"/>
      <c r="J89" s="81">
        <f>ROUND(((($J$81/30)*5)/12),2)</f>
        <v>18.75</v>
      </c>
    </row>
    <row r="90" spans="1:10" ht="18.75" customHeight="1" x14ac:dyDescent="0.3">
      <c r="A90" s="583" t="s">
        <v>75</v>
      </c>
      <c r="B90" s="583"/>
      <c r="C90" s="583"/>
      <c r="D90" s="583"/>
      <c r="E90" s="583"/>
      <c r="F90" s="583"/>
      <c r="G90" s="583"/>
      <c r="H90" s="583"/>
      <c r="I90" s="583"/>
      <c r="J90" s="81">
        <f>SUM(J85:J89)</f>
        <v>132.32</v>
      </c>
    </row>
    <row r="91" spans="1:10" ht="18.75" customHeight="1" x14ac:dyDescent="0.3">
      <c r="A91" s="76" t="s">
        <v>99</v>
      </c>
      <c r="B91" s="573" t="s">
        <v>251</v>
      </c>
      <c r="C91" s="573"/>
      <c r="D91" s="573"/>
      <c r="E91" s="573"/>
      <c r="F91" s="573"/>
      <c r="G91" s="573"/>
      <c r="H91" s="573"/>
      <c r="I91" s="573"/>
      <c r="J91" s="81">
        <f>ROUND(I46*J90,2)</f>
        <v>47.34</v>
      </c>
    </row>
    <row r="92" spans="1:10" ht="18.75" customHeight="1" x14ac:dyDescent="0.3">
      <c r="A92" s="574" t="s">
        <v>75</v>
      </c>
      <c r="B92" s="574"/>
      <c r="C92" s="574"/>
      <c r="D92" s="574"/>
      <c r="E92" s="574"/>
      <c r="F92" s="574"/>
      <c r="G92" s="574"/>
      <c r="H92" s="574"/>
      <c r="I92" s="574"/>
      <c r="J92" s="83">
        <f>SUM(J90:J91)</f>
        <v>179.66</v>
      </c>
    </row>
    <row r="93" spans="1:10" ht="18.75" customHeight="1" x14ac:dyDescent="0.35">
      <c r="A93" s="82"/>
      <c r="B93" s="82"/>
      <c r="C93" s="82"/>
      <c r="D93" s="82"/>
      <c r="E93" s="82"/>
      <c r="F93" s="82"/>
      <c r="G93" s="82"/>
      <c r="H93" s="82"/>
      <c r="I93" s="82"/>
      <c r="J93" s="82"/>
    </row>
    <row r="94" spans="1:10" ht="19.5" customHeight="1" x14ac:dyDescent="0.3">
      <c r="A94" s="581" t="s">
        <v>252</v>
      </c>
      <c r="B94" s="581"/>
      <c r="C94" s="581"/>
      <c r="D94" s="581"/>
      <c r="E94" s="581"/>
      <c r="F94" s="581"/>
      <c r="G94" s="581"/>
      <c r="H94" s="581"/>
      <c r="I94" s="581"/>
      <c r="J94" s="581"/>
    </row>
    <row r="95" spans="1:10" ht="18.75" customHeight="1" x14ac:dyDescent="0.3">
      <c r="A95" s="74" t="s">
        <v>145</v>
      </c>
      <c r="B95" s="582" t="s">
        <v>62</v>
      </c>
      <c r="C95" s="582"/>
      <c r="D95" s="582"/>
      <c r="E95" s="582"/>
      <c r="F95" s="582"/>
      <c r="G95" s="582"/>
      <c r="H95" s="582"/>
      <c r="I95" s="582"/>
      <c r="J95" s="101" t="s">
        <v>85</v>
      </c>
    </row>
    <row r="96" spans="1:10" ht="18.75" customHeight="1" x14ac:dyDescent="0.3">
      <c r="A96" s="76" t="s">
        <v>34</v>
      </c>
      <c r="B96" s="573" t="s">
        <v>253</v>
      </c>
      <c r="C96" s="573"/>
      <c r="D96" s="573"/>
      <c r="E96" s="573"/>
      <c r="F96" s="573"/>
      <c r="G96" s="573"/>
      <c r="H96" s="573"/>
      <c r="I96" s="573"/>
      <c r="J96" s="81">
        <v>0</v>
      </c>
    </row>
    <row r="97" spans="1:12" ht="18.75" customHeight="1" x14ac:dyDescent="0.3">
      <c r="A97" s="583" t="s">
        <v>75</v>
      </c>
      <c r="B97" s="583"/>
      <c r="C97" s="583"/>
      <c r="D97" s="583"/>
      <c r="E97" s="583"/>
      <c r="F97" s="583"/>
      <c r="G97" s="583"/>
      <c r="H97" s="583"/>
      <c r="I97" s="583"/>
      <c r="J97" s="81">
        <v>0</v>
      </c>
    </row>
    <row r="98" spans="1:12" ht="18.75" customHeight="1" x14ac:dyDescent="0.3">
      <c r="A98" s="76" t="s">
        <v>36</v>
      </c>
      <c r="B98" s="573" t="s">
        <v>254</v>
      </c>
      <c r="C98" s="573"/>
      <c r="D98" s="573"/>
      <c r="E98" s="573"/>
      <c r="F98" s="573"/>
      <c r="G98" s="573"/>
      <c r="H98" s="573"/>
      <c r="I98" s="573"/>
      <c r="J98" s="81">
        <f>ROUND(I46*J97,2)</f>
        <v>0</v>
      </c>
    </row>
    <row r="99" spans="1:12" ht="18.75" customHeight="1" x14ac:dyDescent="0.3">
      <c r="A99" s="574" t="s">
        <v>75</v>
      </c>
      <c r="B99" s="574"/>
      <c r="C99" s="574"/>
      <c r="D99" s="574"/>
      <c r="E99" s="574"/>
      <c r="F99" s="574"/>
      <c r="G99" s="574"/>
      <c r="H99" s="574"/>
      <c r="I99" s="574"/>
      <c r="J99" s="83">
        <f>SUM(J97:J98)</f>
        <v>0</v>
      </c>
    </row>
    <row r="100" spans="1:12" ht="18.75" customHeight="1" x14ac:dyDescent="0.35">
      <c r="A100" s="584"/>
      <c r="B100" s="584"/>
      <c r="C100" s="584"/>
      <c r="D100" s="584"/>
      <c r="E100" s="584"/>
      <c r="F100" s="584"/>
      <c r="G100" s="584"/>
      <c r="H100" s="584"/>
      <c r="I100" s="584"/>
      <c r="J100" s="584"/>
    </row>
    <row r="101" spans="1:12" ht="19.5" customHeight="1" x14ac:dyDescent="0.3">
      <c r="A101" s="581" t="s">
        <v>255</v>
      </c>
      <c r="B101" s="581"/>
      <c r="C101" s="581"/>
      <c r="D101" s="581"/>
      <c r="E101" s="581"/>
      <c r="F101" s="581"/>
      <c r="G101" s="581"/>
      <c r="H101" s="581"/>
      <c r="I101" s="581"/>
      <c r="J101" s="581"/>
    </row>
    <row r="102" spans="1:12" ht="19.5" customHeight="1" x14ac:dyDescent="0.3">
      <c r="A102" s="70">
        <v>4</v>
      </c>
      <c r="B102" s="579" t="s">
        <v>149</v>
      </c>
      <c r="C102" s="579"/>
      <c r="D102" s="579"/>
      <c r="E102" s="579"/>
      <c r="F102" s="579"/>
      <c r="G102" s="579"/>
      <c r="H102" s="579"/>
      <c r="I102" s="579"/>
      <c r="J102" s="102" t="s">
        <v>85</v>
      </c>
      <c r="L102" s="103"/>
    </row>
    <row r="103" spans="1:12" ht="19.5" customHeight="1" x14ac:dyDescent="0.3">
      <c r="A103" s="67" t="s">
        <v>134</v>
      </c>
      <c r="B103" s="568" t="s">
        <v>244</v>
      </c>
      <c r="C103" s="568"/>
      <c r="D103" s="568"/>
      <c r="E103" s="568"/>
      <c r="F103" s="568"/>
      <c r="G103" s="568"/>
      <c r="H103" s="568"/>
      <c r="I103" s="568"/>
      <c r="J103" s="81">
        <f>J92</f>
        <v>179.66</v>
      </c>
      <c r="L103" s="104"/>
    </row>
    <row r="104" spans="1:12" ht="19.5" customHeight="1" x14ac:dyDescent="0.3">
      <c r="A104" s="67" t="s">
        <v>145</v>
      </c>
      <c r="B104" s="568" t="s">
        <v>62</v>
      </c>
      <c r="C104" s="568"/>
      <c r="D104" s="568"/>
      <c r="E104" s="568"/>
      <c r="F104" s="568"/>
      <c r="G104" s="568"/>
      <c r="H104" s="568"/>
      <c r="I104" s="568"/>
      <c r="J104" s="81">
        <f>J99</f>
        <v>0</v>
      </c>
    </row>
    <row r="105" spans="1:12" ht="19.5" customHeight="1" x14ac:dyDescent="0.3">
      <c r="A105" s="580" t="s">
        <v>75</v>
      </c>
      <c r="B105" s="580"/>
      <c r="C105" s="580"/>
      <c r="D105" s="580"/>
      <c r="E105" s="580"/>
      <c r="F105" s="580"/>
      <c r="G105" s="580"/>
      <c r="H105" s="580"/>
      <c r="I105" s="580"/>
      <c r="J105" s="83">
        <f>SUM(J103+J104)</f>
        <v>179.66</v>
      </c>
    </row>
    <row r="106" spans="1:12" ht="18.75" customHeight="1" x14ac:dyDescent="0.35">
      <c r="A106" s="567"/>
      <c r="B106" s="567"/>
      <c r="C106" s="567"/>
      <c r="D106" s="567"/>
      <c r="E106" s="567"/>
      <c r="F106" s="567"/>
      <c r="G106" s="567"/>
      <c r="H106" s="567"/>
      <c r="I106" s="567"/>
      <c r="J106" s="567"/>
    </row>
    <row r="107" spans="1:12" ht="19.5" customHeight="1" x14ac:dyDescent="0.3">
      <c r="A107" s="577" t="s">
        <v>256</v>
      </c>
      <c r="B107" s="577"/>
      <c r="C107" s="577"/>
      <c r="D107" s="577"/>
      <c r="E107" s="577"/>
      <c r="F107" s="577"/>
      <c r="G107" s="577"/>
      <c r="H107" s="577"/>
      <c r="I107" s="577"/>
      <c r="J107" s="577"/>
    </row>
    <row r="108" spans="1:12" ht="18.75" customHeight="1" x14ac:dyDescent="0.3">
      <c r="A108" s="96">
        <v>5</v>
      </c>
      <c r="B108" s="578" t="s">
        <v>151</v>
      </c>
      <c r="C108" s="578"/>
      <c r="D108" s="578"/>
      <c r="E108" s="578"/>
      <c r="F108" s="578"/>
      <c r="G108" s="578"/>
      <c r="H108" s="578"/>
      <c r="I108" s="578"/>
      <c r="J108" s="96" t="s">
        <v>85</v>
      </c>
    </row>
    <row r="109" spans="1:12" ht="18.75" customHeight="1" x14ac:dyDescent="0.3">
      <c r="A109" s="76" t="s">
        <v>34</v>
      </c>
      <c r="B109" s="573" t="s">
        <v>152</v>
      </c>
      <c r="C109" s="573"/>
      <c r="D109" s="573"/>
      <c r="E109" s="573"/>
      <c r="F109" s="573"/>
      <c r="G109" s="573"/>
      <c r="H109" s="573"/>
      <c r="I109" s="573"/>
      <c r="J109" s="81">
        <v>37.159999999999997</v>
      </c>
    </row>
    <row r="110" spans="1:12" ht="19.5" customHeight="1" x14ac:dyDescent="0.3">
      <c r="A110" s="76" t="s">
        <v>36</v>
      </c>
      <c r="B110" s="573" t="s">
        <v>153</v>
      </c>
      <c r="C110" s="573"/>
      <c r="D110" s="573"/>
      <c r="E110" s="573"/>
      <c r="F110" s="573"/>
      <c r="G110" s="573"/>
      <c r="H110" s="573"/>
      <c r="I110" s="573"/>
      <c r="J110" s="93" t="s">
        <v>71</v>
      </c>
    </row>
    <row r="111" spans="1:12" ht="19.5" customHeight="1" x14ac:dyDescent="0.3">
      <c r="A111" s="76" t="s">
        <v>38</v>
      </c>
      <c r="B111" s="573" t="s">
        <v>257</v>
      </c>
      <c r="C111" s="573"/>
      <c r="D111" s="573"/>
      <c r="E111" s="573"/>
      <c r="F111" s="573"/>
      <c r="G111" s="573"/>
      <c r="H111" s="573"/>
      <c r="I111" s="573"/>
      <c r="J111" s="93" t="s">
        <v>71</v>
      </c>
    </row>
    <row r="112" spans="1:12" ht="19.5" customHeight="1" x14ac:dyDescent="0.3">
      <c r="A112" s="76" t="s">
        <v>40</v>
      </c>
      <c r="B112" s="573" t="s">
        <v>155</v>
      </c>
      <c r="C112" s="573"/>
      <c r="D112" s="573"/>
      <c r="E112" s="573"/>
      <c r="F112" s="573"/>
      <c r="G112" s="573"/>
      <c r="H112" s="573"/>
      <c r="I112" s="573"/>
      <c r="J112" s="93" t="s">
        <v>71</v>
      </c>
    </row>
    <row r="113" spans="1:10" ht="19.5" customHeight="1" x14ac:dyDescent="0.3">
      <c r="A113" s="574" t="s">
        <v>75</v>
      </c>
      <c r="B113" s="574"/>
      <c r="C113" s="574"/>
      <c r="D113" s="574"/>
      <c r="E113" s="574"/>
      <c r="F113" s="574"/>
      <c r="G113" s="574"/>
      <c r="H113" s="574"/>
      <c r="I113" s="574"/>
      <c r="J113" s="99">
        <f>SUM(J109:J112)</f>
        <v>37.159999999999997</v>
      </c>
    </row>
    <row r="114" spans="1:10" ht="18.75" customHeight="1" x14ac:dyDescent="0.35">
      <c r="A114" s="567"/>
      <c r="B114" s="567"/>
      <c r="C114" s="567"/>
      <c r="D114" s="567"/>
      <c r="E114" s="567"/>
      <c r="F114" s="567"/>
      <c r="G114" s="567"/>
      <c r="H114" s="567"/>
      <c r="I114" s="567"/>
      <c r="J114" s="567"/>
    </row>
    <row r="115" spans="1:10" ht="19.5" customHeight="1" x14ac:dyDescent="0.3">
      <c r="A115" s="577" t="s">
        <v>258</v>
      </c>
      <c r="B115" s="577"/>
      <c r="C115" s="577"/>
      <c r="D115" s="577"/>
      <c r="E115" s="577"/>
      <c r="F115" s="577"/>
      <c r="G115" s="577"/>
      <c r="H115" s="577"/>
      <c r="I115" s="577"/>
      <c r="J115" s="577"/>
    </row>
    <row r="116" spans="1:10" ht="19.5" customHeight="1" x14ac:dyDescent="0.3">
      <c r="A116" s="96">
        <v>6</v>
      </c>
      <c r="B116" s="578" t="s">
        <v>157</v>
      </c>
      <c r="C116" s="578"/>
      <c r="D116" s="578"/>
      <c r="E116" s="578"/>
      <c r="F116" s="578"/>
      <c r="G116" s="578"/>
      <c r="H116" s="578"/>
      <c r="I116" s="70" t="s">
        <v>221</v>
      </c>
      <c r="J116" s="105" t="s">
        <v>85</v>
      </c>
    </row>
    <row r="117" spans="1:10" ht="51.75" customHeight="1" x14ac:dyDescent="0.3">
      <c r="A117" s="568" t="s">
        <v>259</v>
      </c>
      <c r="B117" s="568"/>
      <c r="C117" s="568"/>
      <c r="D117" s="568"/>
      <c r="E117" s="568"/>
      <c r="F117" s="568"/>
      <c r="G117" s="568"/>
      <c r="H117" s="568"/>
      <c r="I117" s="106" t="s">
        <v>164</v>
      </c>
      <c r="J117" s="81">
        <f>SUM(J25+J68+J78+J105+J113)</f>
        <v>2563.8033887983997</v>
      </c>
    </row>
    <row r="118" spans="1:10" ht="18.75" customHeight="1" x14ac:dyDescent="0.3">
      <c r="A118" s="76" t="s">
        <v>34</v>
      </c>
      <c r="B118" s="573" t="s">
        <v>159</v>
      </c>
      <c r="C118" s="573"/>
      <c r="D118" s="573"/>
      <c r="E118" s="573"/>
      <c r="F118" s="573"/>
      <c r="G118" s="573"/>
      <c r="H118" s="573"/>
      <c r="I118" s="84">
        <v>7.1000000000000004E-3</v>
      </c>
      <c r="J118" s="81">
        <f>ROUND(I118*J117,2)</f>
        <v>18.2</v>
      </c>
    </row>
    <row r="119" spans="1:10" ht="54" customHeight="1" x14ac:dyDescent="0.3">
      <c r="A119" s="568" t="s">
        <v>260</v>
      </c>
      <c r="B119" s="568"/>
      <c r="C119" s="568"/>
      <c r="D119" s="568"/>
      <c r="E119" s="568"/>
      <c r="F119" s="568"/>
      <c r="G119" s="568"/>
      <c r="H119" s="568"/>
      <c r="I119" s="107" t="s">
        <v>164</v>
      </c>
      <c r="J119" s="81">
        <f>SUM(J25+J68+J78+J105+J113+J118)</f>
        <v>2582.0033887983996</v>
      </c>
    </row>
    <row r="120" spans="1:10" ht="18.75" customHeight="1" x14ac:dyDescent="0.3">
      <c r="A120" s="76" t="s">
        <v>36</v>
      </c>
      <c r="B120" s="573" t="s">
        <v>161</v>
      </c>
      <c r="C120" s="573"/>
      <c r="D120" s="573"/>
      <c r="E120" s="573"/>
      <c r="F120" s="573"/>
      <c r="G120" s="573"/>
      <c r="H120" s="573"/>
      <c r="I120" s="84">
        <f>I118</f>
        <v>7.1000000000000004E-3</v>
      </c>
      <c r="J120" s="81">
        <f>ROUND(I120*J119,2)</f>
        <v>18.329999999999998</v>
      </c>
    </row>
    <row r="121" spans="1:10" ht="54" customHeight="1" x14ac:dyDescent="0.3">
      <c r="A121" s="568" t="s">
        <v>261</v>
      </c>
      <c r="B121" s="568"/>
      <c r="C121" s="568"/>
      <c r="D121" s="568"/>
      <c r="E121" s="568"/>
      <c r="F121" s="568"/>
      <c r="G121" s="568"/>
      <c r="H121" s="568"/>
      <c r="I121" s="107" t="s">
        <v>164</v>
      </c>
      <c r="J121" s="81">
        <f>SUM(J25+J68+J78+J105+J113+J118+J120)</f>
        <v>2600.3333887983995</v>
      </c>
    </row>
    <row r="122" spans="1:10" ht="18.75" customHeight="1" x14ac:dyDescent="0.3">
      <c r="A122" s="76" t="s">
        <v>38</v>
      </c>
      <c r="B122" s="573" t="s">
        <v>163</v>
      </c>
      <c r="C122" s="573"/>
      <c r="D122" s="573"/>
      <c r="E122" s="573"/>
      <c r="F122" s="573"/>
      <c r="G122" s="573"/>
      <c r="H122" s="573"/>
      <c r="I122" s="77" t="s">
        <v>164</v>
      </c>
      <c r="J122" s="90" t="s">
        <v>164</v>
      </c>
    </row>
    <row r="123" spans="1:10" ht="18.75" customHeight="1" x14ac:dyDescent="0.3">
      <c r="A123" s="76"/>
      <c r="B123" s="573" t="s">
        <v>165</v>
      </c>
      <c r="C123" s="573"/>
      <c r="D123" s="573"/>
      <c r="E123" s="573"/>
      <c r="F123" s="573"/>
      <c r="G123" s="573"/>
      <c r="H123" s="573"/>
      <c r="I123" s="77" t="s">
        <v>164</v>
      </c>
      <c r="J123" s="90" t="s">
        <v>164</v>
      </c>
    </row>
    <row r="124" spans="1:10" ht="19.5" customHeight="1" x14ac:dyDescent="0.3">
      <c r="A124" s="76"/>
      <c r="B124" s="600" t="s">
        <v>300</v>
      </c>
      <c r="C124" s="600"/>
      <c r="D124" s="600"/>
      <c r="E124" s="600"/>
      <c r="F124" s="600"/>
      <c r="G124" s="600"/>
      <c r="H124" s="600"/>
      <c r="I124" s="108">
        <v>0.03</v>
      </c>
      <c r="J124" s="81">
        <f>ROUND(($J$121/(1-$I$133))*I124,2)</f>
        <v>85.4</v>
      </c>
    </row>
    <row r="125" spans="1:10" ht="19.5" customHeight="1" x14ac:dyDescent="0.3">
      <c r="A125" s="76"/>
      <c r="B125" s="600" t="s">
        <v>167</v>
      </c>
      <c r="C125" s="600"/>
      <c r="D125" s="600"/>
      <c r="E125" s="600"/>
      <c r="F125" s="600"/>
      <c r="G125" s="600"/>
      <c r="H125" s="600"/>
      <c r="I125" s="108">
        <v>6.4999999999999997E-3</v>
      </c>
      <c r="J125" s="81">
        <f>ROUND(($J$121/(1-$I$133))*I125,2)</f>
        <v>18.5</v>
      </c>
    </row>
    <row r="126" spans="1:10" ht="19.5" customHeight="1" x14ac:dyDescent="0.3">
      <c r="A126" s="76"/>
      <c r="B126" s="601" t="s">
        <v>264</v>
      </c>
      <c r="C126" s="601"/>
      <c r="D126" s="601"/>
      <c r="E126" s="601"/>
      <c r="F126" s="601"/>
      <c r="G126" s="601"/>
      <c r="H126" s="601"/>
      <c r="I126" s="98" t="s">
        <v>164</v>
      </c>
      <c r="J126" s="90" t="s">
        <v>164</v>
      </c>
    </row>
    <row r="127" spans="1:10" ht="19.5" customHeight="1" x14ac:dyDescent="0.3">
      <c r="A127" s="76"/>
      <c r="B127" s="601" t="s">
        <v>265</v>
      </c>
      <c r="C127" s="601"/>
      <c r="D127" s="601"/>
      <c r="E127" s="601"/>
      <c r="F127" s="601"/>
      <c r="G127" s="601"/>
      <c r="H127" s="601"/>
      <c r="I127" s="98" t="s">
        <v>164</v>
      </c>
      <c r="J127" s="90" t="s">
        <v>164</v>
      </c>
    </row>
    <row r="128" spans="1:10" ht="19.5" customHeight="1" x14ac:dyDescent="0.3">
      <c r="A128" s="76"/>
      <c r="B128" s="573" t="s">
        <v>168</v>
      </c>
      <c r="C128" s="573"/>
      <c r="D128" s="573"/>
      <c r="E128" s="573"/>
      <c r="F128" s="573"/>
      <c r="G128" s="573"/>
      <c r="H128" s="573"/>
      <c r="I128" s="98" t="s">
        <v>164</v>
      </c>
      <c r="J128" s="90" t="s">
        <v>164</v>
      </c>
    </row>
    <row r="129" spans="1:10" ht="19.5" customHeight="1" x14ac:dyDescent="0.3">
      <c r="A129" s="76"/>
      <c r="B129" s="573" t="s">
        <v>266</v>
      </c>
      <c r="C129" s="573"/>
      <c r="D129" s="573"/>
      <c r="E129" s="573"/>
      <c r="F129" s="573"/>
      <c r="G129" s="573"/>
      <c r="H129" s="573"/>
      <c r="I129" s="98" t="s">
        <v>164</v>
      </c>
      <c r="J129" s="90" t="s">
        <v>164</v>
      </c>
    </row>
    <row r="130" spans="1:10" ht="19.5" customHeight="1" x14ac:dyDescent="0.3">
      <c r="A130" s="76"/>
      <c r="B130" s="600" t="s">
        <v>301</v>
      </c>
      <c r="C130" s="600"/>
      <c r="D130" s="600"/>
      <c r="E130" s="600"/>
      <c r="F130" s="600"/>
      <c r="G130" s="600"/>
      <c r="H130" s="600"/>
      <c r="I130" s="108">
        <v>0.05</v>
      </c>
      <c r="J130" s="81">
        <f>ROUND(($J$121/(1-$I$133))*I130,2)</f>
        <v>142.33000000000001</v>
      </c>
    </row>
    <row r="131" spans="1:10" ht="18.75" customHeight="1" x14ac:dyDescent="0.3">
      <c r="A131" s="574" t="s">
        <v>75</v>
      </c>
      <c r="B131" s="574"/>
      <c r="C131" s="574"/>
      <c r="D131" s="574"/>
      <c r="E131" s="574"/>
      <c r="F131" s="574"/>
      <c r="G131" s="574"/>
      <c r="H131" s="574"/>
      <c r="I131" s="574"/>
      <c r="J131" s="83">
        <f>SUM(J118+J120+J124+J125+J130)</f>
        <v>282.76</v>
      </c>
    </row>
    <row r="132" spans="1:10" ht="18.75" customHeight="1" x14ac:dyDescent="0.35">
      <c r="A132" s="567"/>
      <c r="B132" s="567"/>
      <c r="C132" s="567"/>
      <c r="D132" s="567"/>
      <c r="E132" s="567"/>
      <c r="F132" s="567"/>
      <c r="G132" s="567"/>
      <c r="H132" s="567"/>
      <c r="I132" s="567"/>
      <c r="J132" s="567"/>
    </row>
    <row r="133" spans="1:10" ht="19.5" customHeight="1" x14ac:dyDescent="0.3">
      <c r="A133" s="575" t="s">
        <v>170</v>
      </c>
      <c r="B133" s="575"/>
      <c r="C133" s="575"/>
      <c r="D133" s="575"/>
      <c r="E133" s="575"/>
      <c r="F133" s="575"/>
      <c r="G133" s="575"/>
      <c r="H133" s="575"/>
      <c r="I133" s="84">
        <f>SUM(I124:I130)</f>
        <v>8.6499999999999994E-2</v>
      </c>
      <c r="J133" s="81">
        <f>SUM(J124:J130)</f>
        <v>246.23000000000002</v>
      </c>
    </row>
    <row r="134" spans="1:10" ht="18.75" customHeight="1" x14ac:dyDescent="0.3">
      <c r="A134" s="576" t="s">
        <v>171</v>
      </c>
      <c r="B134" s="576"/>
      <c r="C134" s="576"/>
      <c r="D134" s="573" t="s">
        <v>172</v>
      </c>
      <c r="E134" s="573"/>
      <c r="F134" s="573"/>
      <c r="G134" s="573"/>
      <c r="H134" s="573"/>
      <c r="I134" s="573"/>
      <c r="J134" s="573"/>
    </row>
    <row r="135" spans="1:10" ht="18.75" customHeight="1" x14ac:dyDescent="0.3">
      <c r="A135" s="576"/>
      <c r="B135" s="576"/>
      <c r="C135" s="576"/>
      <c r="D135" s="573" t="s">
        <v>173</v>
      </c>
      <c r="E135" s="573"/>
      <c r="F135" s="573"/>
      <c r="G135" s="573"/>
      <c r="H135" s="573"/>
      <c r="I135" s="573"/>
      <c r="J135" s="573"/>
    </row>
    <row r="136" spans="1:10" ht="18.75" customHeight="1" x14ac:dyDescent="0.3">
      <c r="A136" s="576"/>
      <c r="B136" s="576"/>
      <c r="C136" s="576"/>
      <c r="D136" s="573" t="s">
        <v>174</v>
      </c>
      <c r="E136" s="573"/>
      <c r="F136" s="573"/>
      <c r="G136" s="573"/>
      <c r="H136" s="573"/>
      <c r="I136" s="573"/>
      <c r="J136" s="573"/>
    </row>
    <row r="137" spans="1:10" ht="18.75" customHeight="1" x14ac:dyDescent="0.35">
      <c r="A137" s="567"/>
      <c r="B137" s="567"/>
      <c r="C137" s="567"/>
      <c r="D137" s="567"/>
      <c r="E137" s="567"/>
      <c r="F137" s="567"/>
      <c r="G137" s="567"/>
      <c r="H137" s="567"/>
      <c r="I137" s="567"/>
      <c r="J137" s="567"/>
    </row>
    <row r="138" spans="1:10" ht="19.5" customHeight="1" x14ac:dyDescent="0.3">
      <c r="A138" s="570" t="s">
        <v>302</v>
      </c>
      <c r="B138" s="570"/>
      <c r="C138" s="570"/>
      <c r="D138" s="570"/>
      <c r="E138" s="570"/>
      <c r="F138" s="570"/>
      <c r="G138" s="570"/>
      <c r="H138" s="570"/>
      <c r="I138" s="570"/>
      <c r="J138" s="570"/>
    </row>
    <row r="139" spans="1:10" ht="19.5" customHeight="1" x14ac:dyDescent="0.3">
      <c r="A139" s="598" t="s">
        <v>269</v>
      </c>
      <c r="B139" s="598"/>
      <c r="C139" s="598"/>
      <c r="D139" s="598"/>
      <c r="E139" s="598"/>
      <c r="F139" s="598"/>
      <c r="G139" s="598"/>
      <c r="H139" s="598"/>
      <c r="I139" s="598"/>
      <c r="J139" s="100" t="s">
        <v>85</v>
      </c>
    </row>
    <row r="140" spans="1:10" ht="19.5" customHeight="1" x14ac:dyDescent="0.3">
      <c r="A140" s="109" t="s">
        <v>34</v>
      </c>
      <c r="B140" s="565" t="s">
        <v>177</v>
      </c>
      <c r="C140" s="565"/>
      <c r="D140" s="565"/>
      <c r="E140" s="565"/>
      <c r="F140" s="565"/>
      <c r="G140" s="565"/>
      <c r="H140" s="565"/>
      <c r="I140" s="565"/>
      <c r="J140" s="93">
        <f>J25</f>
        <v>1121.2</v>
      </c>
    </row>
    <row r="141" spans="1:10" ht="19.5" customHeight="1" x14ac:dyDescent="0.3">
      <c r="A141" s="109" t="s">
        <v>36</v>
      </c>
      <c r="B141" s="565" t="s">
        <v>80</v>
      </c>
      <c r="C141" s="565"/>
      <c r="D141" s="565"/>
      <c r="E141" s="565"/>
      <c r="F141" s="565"/>
      <c r="G141" s="565"/>
      <c r="H141" s="565"/>
      <c r="I141" s="565"/>
      <c r="J141" s="93">
        <f>J68</f>
        <v>1177.3800000000001</v>
      </c>
    </row>
    <row r="142" spans="1:10" ht="19.5" customHeight="1" x14ac:dyDescent="0.3">
      <c r="A142" s="109" t="s">
        <v>38</v>
      </c>
      <c r="B142" s="565" t="s">
        <v>178</v>
      </c>
      <c r="C142" s="565"/>
      <c r="D142" s="565"/>
      <c r="E142" s="565"/>
      <c r="F142" s="565"/>
      <c r="G142" s="565"/>
      <c r="H142" s="565"/>
      <c r="I142" s="565"/>
      <c r="J142" s="93">
        <f>J78</f>
        <v>48.403388798400002</v>
      </c>
    </row>
    <row r="143" spans="1:10" ht="19.5" customHeight="1" x14ac:dyDescent="0.3">
      <c r="A143" s="109" t="s">
        <v>40</v>
      </c>
      <c r="B143" s="565" t="s">
        <v>179</v>
      </c>
      <c r="C143" s="565"/>
      <c r="D143" s="565"/>
      <c r="E143" s="565"/>
      <c r="F143" s="565"/>
      <c r="G143" s="565"/>
      <c r="H143" s="565"/>
      <c r="I143" s="565"/>
      <c r="J143" s="93">
        <f>J105</f>
        <v>179.66</v>
      </c>
    </row>
    <row r="144" spans="1:10" ht="19.5" customHeight="1" x14ac:dyDescent="0.3">
      <c r="A144" s="109" t="s">
        <v>73</v>
      </c>
      <c r="B144" s="565" t="s">
        <v>180</v>
      </c>
      <c r="C144" s="565"/>
      <c r="D144" s="565"/>
      <c r="E144" s="565"/>
      <c r="F144" s="565"/>
      <c r="G144" s="565"/>
      <c r="H144" s="565"/>
      <c r="I144" s="565"/>
      <c r="J144" s="93">
        <f>J113</f>
        <v>37.159999999999997</v>
      </c>
    </row>
    <row r="145" spans="1:10" ht="19.5" customHeight="1" x14ac:dyDescent="0.3">
      <c r="A145" s="572" t="s">
        <v>181</v>
      </c>
      <c r="B145" s="572"/>
      <c r="C145" s="572"/>
      <c r="D145" s="572"/>
      <c r="E145" s="572"/>
      <c r="F145" s="572"/>
      <c r="G145" s="572"/>
      <c r="H145" s="572"/>
      <c r="I145" s="572"/>
      <c r="J145" s="99">
        <f>SUM(J140:J144)</f>
        <v>2563.8033887983997</v>
      </c>
    </row>
    <row r="146" spans="1:10" ht="19.5" customHeight="1" x14ac:dyDescent="0.3">
      <c r="A146" s="109" t="s">
        <v>76</v>
      </c>
      <c r="B146" s="565" t="s">
        <v>182</v>
      </c>
      <c r="C146" s="565"/>
      <c r="D146" s="565"/>
      <c r="E146" s="565"/>
      <c r="F146" s="565"/>
      <c r="G146" s="565"/>
      <c r="H146" s="565"/>
      <c r="I146" s="565"/>
      <c r="J146" s="93">
        <f>J131</f>
        <v>282.76</v>
      </c>
    </row>
    <row r="147" spans="1:10" ht="19.5" customHeight="1" x14ac:dyDescent="0.3">
      <c r="A147" s="566" t="s">
        <v>270</v>
      </c>
      <c r="B147" s="566"/>
      <c r="C147" s="566"/>
      <c r="D147" s="566"/>
      <c r="E147" s="566"/>
      <c r="F147" s="566"/>
      <c r="G147" s="566"/>
      <c r="H147" s="566"/>
      <c r="I147" s="566"/>
      <c r="J147" s="110">
        <f>SUM(J145:J146)</f>
        <v>2846.5633887983995</v>
      </c>
    </row>
    <row r="148" spans="1:10" ht="18.75" customHeight="1" x14ac:dyDescent="0.35">
      <c r="A148" s="567"/>
      <c r="B148" s="567"/>
      <c r="C148" s="567"/>
      <c r="D148" s="567"/>
      <c r="E148" s="567"/>
      <c r="F148" s="567"/>
      <c r="G148" s="567"/>
      <c r="H148" s="567"/>
      <c r="I148" s="567"/>
      <c r="J148" s="567"/>
    </row>
    <row r="149" spans="1:10" ht="19.5" customHeight="1" x14ac:dyDescent="0.3">
      <c r="A149" s="568" t="s">
        <v>188</v>
      </c>
      <c r="B149" s="568"/>
      <c r="C149" s="568"/>
      <c r="D149" s="568"/>
      <c r="E149" s="568"/>
      <c r="F149" s="568"/>
      <c r="G149" s="569">
        <f>J147</f>
        <v>2846.5633887983995</v>
      </c>
      <c r="H149" s="569"/>
      <c r="I149" s="569"/>
      <c r="J149" s="569"/>
    </row>
    <row r="151" spans="1:10" ht="19.5" customHeight="1" x14ac:dyDescent="0.3"/>
    <row r="153" spans="1:10" ht="31.5" customHeight="1" x14ac:dyDescent="0.3"/>
    <row r="1048576" ht="12.75" customHeight="1" x14ac:dyDescent="0.3"/>
  </sheetData>
  <mergeCells count="159">
    <mergeCell ref="A1:J1"/>
    <mergeCell ref="A2:J2"/>
    <mergeCell ref="A3:J3"/>
    <mergeCell ref="A4:J4"/>
    <mergeCell ref="A5:J5"/>
    <mergeCell ref="A6:J6"/>
    <mergeCell ref="B7:G7"/>
    <mergeCell ref="H7:J7"/>
    <mergeCell ref="B8:G8"/>
    <mergeCell ref="H8:J8"/>
    <mergeCell ref="B9:G9"/>
    <mergeCell ref="H9:J9"/>
    <mergeCell ref="B10:G10"/>
    <mergeCell ref="H10:J10"/>
    <mergeCell ref="A11:J11"/>
    <mergeCell ref="A12:J12"/>
    <mergeCell ref="A13:J13"/>
    <mergeCell ref="A14:J14"/>
    <mergeCell ref="B15:G15"/>
    <mergeCell ref="H15:J15"/>
    <mergeCell ref="B16:G16"/>
    <mergeCell ref="H16:J16"/>
    <mergeCell ref="B17:G17"/>
    <mergeCell ref="H17:J17"/>
    <mergeCell ref="B18:G18"/>
    <mergeCell ref="H18:J18"/>
    <mergeCell ref="B19:G19"/>
    <mergeCell ref="H19:J19"/>
    <mergeCell ref="A20:J20"/>
    <mergeCell ref="A21:J21"/>
    <mergeCell ref="B22:I22"/>
    <mergeCell ref="B23:I23"/>
    <mergeCell ref="B24:I24"/>
    <mergeCell ref="A25:I25"/>
    <mergeCell ref="A26:J26"/>
    <mergeCell ref="A27:J27"/>
    <mergeCell ref="A28:J28"/>
    <mergeCell ref="B29:I29"/>
    <mergeCell ref="B30:H30"/>
    <mergeCell ref="B31:H31"/>
    <mergeCell ref="A32:I32"/>
    <mergeCell ref="B33:I33"/>
    <mergeCell ref="A34:I34"/>
    <mergeCell ref="A35:J35"/>
    <mergeCell ref="A36:J36"/>
    <mergeCell ref="B37:H37"/>
    <mergeCell ref="B38:H38"/>
    <mergeCell ref="B39:H39"/>
    <mergeCell ref="B40:D40"/>
    <mergeCell ref="B41:H41"/>
    <mergeCell ref="B42:H42"/>
    <mergeCell ref="B43:H43"/>
    <mergeCell ref="B44:H44"/>
    <mergeCell ref="B45:H45"/>
    <mergeCell ref="A46:H46"/>
    <mergeCell ref="A47:J47"/>
    <mergeCell ref="A48:J48"/>
    <mergeCell ref="B49:I49"/>
    <mergeCell ref="B50:I50"/>
    <mergeCell ref="B51:H51"/>
    <mergeCell ref="B52:H52"/>
    <mergeCell ref="B53:H53"/>
    <mergeCell ref="B54:I54"/>
    <mergeCell ref="B55:H55"/>
    <mergeCell ref="B56:H56"/>
    <mergeCell ref="B57:I57"/>
    <mergeCell ref="B58:I58"/>
    <mergeCell ref="B59:I59"/>
    <mergeCell ref="B60:I60"/>
    <mergeCell ref="A61:I61"/>
    <mergeCell ref="A62:J62"/>
    <mergeCell ref="A63:J63"/>
    <mergeCell ref="B64:I64"/>
    <mergeCell ref="C65:I65"/>
    <mergeCell ref="C66:I66"/>
    <mergeCell ref="C67:I67"/>
    <mergeCell ref="A68:I68"/>
    <mergeCell ref="A69:J69"/>
    <mergeCell ref="A70:J70"/>
    <mergeCell ref="B71:I71"/>
    <mergeCell ref="B72:I72"/>
    <mergeCell ref="B73:I73"/>
    <mergeCell ref="B74:H74"/>
    <mergeCell ref="B75:I75"/>
    <mergeCell ref="B76:I76"/>
    <mergeCell ref="B77:H77"/>
    <mergeCell ref="A78:I78"/>
    <mergeCell ref="A79:J79"/>
    <mergeCell ref="A80:J80"/>
    <mergeCell ref="A81:I81"/>
    <mergeCell ref="A82:J82"/>
    <mergeCell ref="A83:J83"/>
    <mergeCell ref="B84:I84"/>
    <mergeCell ref="B85:H85"/>
    <mergeCell ref="B86:I86"/>
    <mergeCell ref="B87:I87"/>
    <mergeCell ref="B88:I88"/>
    <mergeCell ref="B89:I89"/>
    <mergeCell ref="A90:I90"/>
    <mergeCell ref="B91:I91"/>
    <mergeCell ref="A92:I92"/>
    <mergeCell ref="A94:J94"/>
    <mergeCell ref="B95:I95"/>
    <mergeCell ref="B96:I96"/>
    <mergeCell ref="A97:I97"/>
    <mergeCell ref="B98:I98"/>
    <mergeCell ref="A99:I99"/>
    <mergeCell ref="A100:J100"/>
    <mergeCell ref="A101:J101"/>
    <mergeCell ref="B102:I102"/>
    <mergeCell ref="B103:I103"/>
    <mergeCell ref="B104:I104"/>
    <mergeCell ref="A105:I105"/>
    <mergeCell ref="A106:J106"/>
    <mergeCell ref="A107:J107"/>
    <mergeCell ref="B108:I108"/>
    <mergeCell ref="B109:I109"/>
    <mergeCell ref="B110:I110"/>
    <mergeCell ref="B111:I111"/>
    <mergeCell ref="B112:I112"/>
    <mergeCell ref="A113:I113"/>
    <mergeCell ref="A114:J114"/>
    <mergeCell ref="A115:J115"/>
    <mergeCell ref="B116:H116"/>
    <mergeCell ref="A117:H117"/>
    <mergeCell ref="B118:H118"/>
    <mergeCell ref="A119:H119"/>
    <mergeCell ref="B120:H120"/>
    <mergeCell ref="A121:H121"/>
    <mergeCell ref="B122:H122"/>
    <mergeCell ref="B123:H123"/>
    <mergeCell ref="B124:H124"/>
    <mergeCell ref="B125:H125"/>
    <mergeCell ref="B126:H126"/>
    <mergeCell ref="B127:H127"/>
    <mergeCell ref="B128:H128"/>
    <mergeCell ref="B129:H129"/>
    <mergeCell ref="B130:H130"/>
    <mergeCell ref="A131:I131"/>
    <mergeCell ref="A132:J132"/>
    <mergeCell ref="A133:H133"/>
    <mergeCell ref="A134:C136"/>
    <mergeCell ref="D134:J134"/>
    <mergeCell ref="D135:J135"/>
    <mergeCell ref="D136:J136"/>
    <mergeCell ref="A137:J137"/>
    <mergeCell ref="A147:I147"/>
    <mergeCell ref="A148:J148"/>
    <mergeCell ref="A149:F149"/>
    <mergeCell ref="G149:J149"/>
    <mergeCell ref="A138:J138"/>
    <mergeCell ref="A139:I139"/>
    <mergeCell ref="B140:I140"/>
    <mergeCell ref="B141:I141"/>
    <mergeCell ref="B142:I142"/>
    <mergeCell ref="B143:I143"/>
    <mergeCell ref="B144:I144"/>
    <mergeCell ref="A145:I145"/>
    <mergeCell ref="B146:I146"/>
  </mergeCells>
  <printOptions horizontalCentered="1"/>
  <pageMargins left="0.118055555555556" right="0.118055555555556" top="0.36319444444444499" bottom="0" header="0.196527777777778" footer="0.511811023622047"/>
  <pageSetup paperSize="9" pageOrder="overThenDown" orientation="portrait" horizontalDpi="300" verticalDpi="300"/>
  <headerFooter>
    <oddHeader>&amp;C&amp;12&amp;A</oddHeader>
  </headerFooter>
  <rowBreaks count="3" manualBreakCount="3">
    <brk id="47" max="16383" man="1"/>
    <brk id="100" max="16383" man="1"/>
    <brk id="131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J149"/>
  <sheetViews>
    <sheetView zoomScaleNormal="100" workbookViewId="0"/>
  </sheetViews>
  <sheetFormatPr defaultColWidth="8.83203125" defaultRowHeight="14.5" x14ac:dyDescent="0.35"/>
  <cols>
    <col min="1" max="10" width="10.33203125" style="82" customWidth="1"/>
    <col min="11" max="1024" width="8.83203125" style="82"/>
  </cols>
  <sheetData>
    <row r="1" spans="1:10" ht="15" customHeight="1" x14ac:dyDescent="0.35">
      <c r="A1" s="595" t="s">
        <v>298</v>
      </c>
      <c r="B1" s="595"/>
      <c r="C1" s="595"/>
      <c r="D1" s="595"/>
      <c r="E1" s="595"/>
      <c r="F1" s="595"/>
      <c r="G1" s="595"/>
      <c r="H1" s="595"/>
      <c r="I1" s="595"/>
      <c r="J1" s="595"/>
    </row>
    <row r="2" spans="1:10" ht="15" customHeight="1" x14ac:dyDescent="0.35">
      <c r="A2" s="596" t="s">
        <v>30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15" customHeight="1" x14ac:dyDescent="0.35">
      <c r="A3" s="568" t="s">
        <v>206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ht="15" customHeight="1" x14ac:dyDescent="0.35">
      <c r="A4" s="568" t="s">
        <v>207</v>
      </c>
      <c r="B4" s="568"/>
      <c r="C4" s="568"/>
      <c r="D4" s="568"/>
      <c r="E4" s="568"/>
      <c r="F4" s="568"/>
      <c r="G4" s="568"/>
      <c r="H4" s="568"/>
      <c r="I4" s="568"/>
      <c r="J4" s="568"/>
    </row>
    <row r="5" spans="1:10" x14ac:dyDescent="0.35">
      <c r="A5" s="567"/>
      <c r="B5" s="567"/>
      <c r="C5" s="567"/>
      <c r="D5" s="567"/>
      <c r="E5" s="567"/>
      <c r="F5" s="567"/>
      <c r="G5" s="567"/>
      <c r="H5" s="567"/>
      <c r="I5" s="567"/>
      <c r="J5" s="567"/>
    </row>
    <row r="6" spans="1:10" ht="15" customHeight="1" x14ac:dyDescent="0.35">
      <c r="A6" s="570" t="s">
        <v>33</v>
      </c>
      <c r="B6" s="570"/>
      <c r="C6" s="570"/>
      <c r="D6" s="570"/>
      <c r="E6" s="570"/>
      <c r="F6" s="570"/>
      <c r="G6" s="570"/>
      <c r="H6" s="570"/>
      <c r="I6" s="570"/>
      <c r="J6" s="570"/>
    </row>
    <row r="7" spans="1:10" ht="15" customHeight="1" x14ac:dyDescent="0.35">
      <c r="A7" s="67" t="s">
        <v>34</v>
      </c>
      <c r="B7" s="568" t="s">
        <v>35</v>
      </c>
      <c r="C7" s="568"/>
      <c r="D7" s="568"/>
      <c r="E7" s="568"/>
      <c r="F7" s="568"/>
      <c r="G7" s="568"/>
      <c r="H7" s="597" t="s">
        <v>164</v>
      </c>
      <c r="I7" s="597"/>
      <c r="J7" s="597"/>
    </row>
    <row r="8" spans="1:10" ht="15" customHeight="1" x14ac:dyDescent="0.35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  <c r="J8" s="593"/>
    </row>
    <row r="9" spans="1:10" ht="15" customHeight="1" x14ac:dyDescent="0.35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208</v>
      </c>
      <c r="I9" s="593"/>
      <c r="J9" s="593"/>
    </row>
    <row r="10" spans="1:10" ht="15" customHeight="1" x14ac:dyDescent="0.35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  <c r="J10" s="594"/>
    </row>
    <row r="11" spans="1:10" x14ac:dyDescent="0.35">
      <c r="A11" s="567"/>
      <c r="B11" s="567"/>
      <c r="C11" s="567"/>
      <c r="D11" s="567"/>
      <c r="E11" s="567"/>
      <c r="F11" s="567"/>
      <c r="G11" s="567"/>
      <c r="H11" s="567"/>
      <c r="I11" s="567"/>
      <c r="J11" s="567"/>
    </row>
    <row r="12" spans="1:10" ht="42" customHeight="1" x14ac:dyDescent="0.35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  <c r="J12" s="570"/>
    </row>
    <row r="13" spans="1:10" x14ac:dyDescent="0.35">
      <c r="A13" s="567"/>
      <c r="B13" s="567"/>
      <c r="C13" s="567"/>
      <c r="D13" s="567"/>
      <c r="E13" s="567"/>
      <c r="F13" s="567"/>
      <c r="G13" s="567"/>
      <c r="H13" s="567"/>
      <c r="I13" s="567"/>
      <c r="J13" s="567"/>
    </row>
    <row r="14" spans="1:10" ht="15" customHeight="1" x14ac:dyDescent="0.35">
      <c r="A14" s="586" t="s">
        <v>47</v>
      </c>
      <c r="B14" s="586"/>
      <c r="C14" s="586"/>
      <c r="D14" s="586"/>
      <c r="E14" s="586"/>
      <c r="F14" s="586"/>
      <c r="G14" s="586"/>
      <c r="H14" s="586"/>
      <c r="I14" s="586"/>
      <c r="J14" s="586"/>
    </row>
    <row r="15" spans="1:10" ht="15" customHeight="1" x14ac:dyDescent="0.35">
      <c r="A15" s="67">
        <v>1</v>
      </c>
      <c r="B15" s="568" t="s">
        <v>48</v>
      </c>
      <c r="C15" s="568"/>
      <c r="D15" s="568"/>
      <c r="E15" s="568"/>
      <c r="F15" s="568"/>
      <c r="G15" s="568"/>
      <c r="H15" s="575" t="s">
        <v>299</v>
      </c>
      <c r="I15" s="575"/>
      <c r="J15" s="575"/>
    </row>
    <row r="16" spans="1:10" ht="15" customHeight="1" x14ac:dyDescent="0.35">
      <c r="A16" s="67">
        <v>2</v>
      </c>
      <c r="B16" s="568" t="s">
        <v>49</v>
      </c>
      <c r="C16" s="568"/>
      <c r="D16" s="568"/>
      <c r="E16" s="568"/>
      <c r="F16" s="568"/>
      <c r="G16" s="568"/>
      <c r="H16" s="575">
        <v>7832</v>
      </c>
      <c r="I16" s="575"/>
      <c r="J16" s="575"/>
    </row>
    <row r="17" spans="1:10" ht="15" customHeight="1" x14ac:dyDescent="0.35">
      <c r="A17" s="67">
        <v>3</v>
      </c>
      <c r="B17" s="568" t="s">
        <v>285</v>
      </c>
      <c r="C17" s="568"/>
      <c r="D17" s="568"/>
      <c r="E17" s="568"/>
      <c r="F17" s="568"/>
      <c r="G17" s="568"/>
      <c r="H17" s="591">
        <v>1121.2</v>
      </c>
      <c r="I17" s="591"/>
      <c r="J17" s="591"/>
    </row>
    <row r="18" spans="1:10" ht="15" customHeight="1" x14ac:dyDescent="0.35">
      <c r="A18" s="67">
        <v>4</v>
      </c>
      <c r="B18" s="568" t="s">
        <v>51</v>
      </c>
      <c r="C18" s="568"/>
      <c r="D18" s="568"/>
      <c r="E18" s="568"/>
      <c r="F18" s="568"/>
      <c r="G18" s="568"/>
      <c r="H18" s="575" t="s">
        <v>299</v>
      </c>
      <c r="I18" s="575"/>
      <c r="J18" s="575"/>
    </row>
    <row r="19" spans="1:10" ht="15" customHeight="1" x14ac:dyDescent="0.35">
      <c r="A19" s="67">
        <v>5</v>
      </c>
      <c r="B19" s="568" t="s">
        <v>52</v>
      </c>
      <c r="C19" s="568"/>
      <c r="D19" s="568"/>
      <c r="E19" s="568"/>
      <c r="F19" s="568"/>
      <c r="G19" s="568"/>
      <c r="H19" s="592">
        <v>43831</v>
      </c>
      <c r="I19" s="592"/>
      <c r="J19" s="592"/>
    </row>
    <row r="20" spans="1:10" x14ac:dyDescent="0.35">
      <c r="A20" s="567"/>
      <c r="B20" s="567"/>
      <c r="C20" s="567"/>
      <c r="D20" s="567"/>
      <c r="E20" s="567"/>
      <c r="F20" s="567"/>
      <c r="G20" s="567"/>
      <c r="H20" s="567"/>
      <c r="I20" s="567"/>
      <c r="J20" s="567"/>
    </row>
    <row r="21" spans="1:10" ht="15" customHeight="1" x14ac:dyDescent="0.35">
      <c r="A21" s="577" t="s">
        <v>214</v>
      </c>
      <c r="B21" s="577"/>
      <c r="C21" s="577"/>
      <c r="D21" s="577"/>
      <c r="E21" s="577"/>
      <c r="F21" s="577"/>
      <c r="G21" s="577"/>
      <c r="H21" s="577"/>
      <c r="I21" s="577"/>
      <c r="J21" s="577"/>
    </row>
    <row r="22" spans="1:10" ht="15" customHeight="1" x14ac:dyDescent="0.35">
      <c r="A22" s="70">
        <v>1</v>
      </c>
      <c r="B22" s="579" t="s">
        <v>65</v>
      </c>
      <c r="C22" s="579"/>
      <c r="D22" s="579"/>
      <c r="E22" s="579"/>
      <c r="F22" s="579"/>
      <c r="G22" s="579"/>
      <c r="H22" s="579"/>
      <c r="I22" s="579"/>
      <c r="J22" s="70" t="s">
        <v>85</v>
      </c>
    </row>
    <row r="23" spans="1:10" ht="15" customHeight="1" x14ac:dyDescent="0.35">
      <c r="A23" s="67" t="s">
        <v>34</v>
      </c>
      <c r="B23" s="568" t="s">
        <v>292</v>
      </c>
      <c r="C23" s="568"/>
      <c r="D23" s="568"/>
      <c r="E23" s="568"/>
      <c r="F23" s="568"/>
      <c r="G23" s="568"/>
      <c r="H23" s="568"/>
      <c r="I23" s="568"/>
      <c r="J23" s="71">
        <f>H17</f>
        <v>1121.2</v>
      </c>
    </row>
    <row r="24" spans="1:10" ht="15" customHeight="1" x14ac:dyDescent="0.35">
      <c r="A24" s="67" t="s">
        <v>36</v>
      </c>
      <c r="B24" s="568" t="s">
        <v>74</v>
      </c>
      <c r="C24" s="568"/>
      <c r="D24" s="568"/>
      <c r="E24" s="568"/>
      <c r="F24" s="568"/>
      <c r="G24" s="568"/>
      <c r="H24" s="568"/>
      <c r="I24" s="568"/>
      <c r="J24" s="72"/>
    </row>
    <row r="25" spans="1:10" ht="15" customHeight="1" x14ac:dyDescent="0.35">
      <c r="A25" s="580" t="s">
        <v>75</v>
      </c>
      <c r="B25" s="580"/>
      <c r="C25" s="580"/>
      <c r="D25" s="580"/>
      <c r="E25" s="580"/>
      <c r="F25" s="580"/>
      <c r="G25" s="580"/>
      <c r="H25" s="580"/>
      <c r="I25" s="580"/>
      <c r="J25" s="73">
        <f>SUM(J23:J24)</f>
        <v>1121.2</v>
      </c>
    </row>
    <row r="26" spans="1:10" x14ac:dyDescent="0.35">
      <c r="A26" s="567"/>
      <c r="B26" s="567"/>
      <c r="C26" s="567"/>
      <c r="D26" s="567"/>
      <c r="E26" s="567"/>
      <c r="F26" s="567"/>
      <c r="G26" s="567"/>
      <c r="H26" s="567"/>
      <c r="I26" s="567"/>
      <c r="J26" s="567"/>
    </row>
    <row r="27" spans="1:10" ht="15" customHeight="1" x14ac:dyDescent="0.35">
      <c r="A27" s="577" t="s">
        <v>216</v>
      </c>
      <c r="B27" s="577"/>
      <c r="C27" s="577"/>
      <c r="D27" s="577"/>
      <c r="E27" s="577"/>
      <c r="F27" s="577"/>
      <c r="G27" s="577"/>
      <c r="H27" s="577"/>
      <c r="I27" s="577"/>
      <c r="J27" s="577"/>
    </row>
    <row r="28" spans="1:10" x14ac:dyDescent="0.35">
      <c r="A28" s="587" t="s">
        <v>217</v>
      </c>
      <c r="B28" s="587"/>
      <c r="C28" s="587"/>
      <c r="D28" s="587"/>
      <c r="E28" s="587"/>
      <c r="F28" s="587"/>
      <c r="G28" s="587"/>
      <c r="H28" s="587"/>
      <c r="I28" s="587"/>
      <c r="J28" s="587"/>
    </row>
    <row r="29" spans="1:10" x14ac:dyDescent="0.35">
      <c r="A29" s="74" t="s">
        <v>82</v>
      </c>
      <c r="B29" s="590" t="s">
        <v>118</v>
      </c>
      <c r="C29" s="590"/>
      <c r="D29" s="590"/>
      <c r="E29" s="590"/>
      <c r="F29" s="590"/>
      <c r="G29" s="590"/>
      <c r="H29" s="590"/>
      <c r="I29" s="590"/>
      <c r="J29" s="75" t="s">
        <v>85</v>
      </c>
    </row>
    <row r="30" spans="1:10" ht="34.5" customHeight="1" x14ac:dyDescent="0.35">
      <c r="A30" s="76" t="s">
        <v>34</v>
      </c>
      <c r="B30" s="568" t="s">
        <v>293</v>
      </c>
      <c r="C30" s="568"/>
      <c r="D30" s="568"/>
      <c r="E30" s="568"/>
      <c r="F30" s="568"/>
      <c r="G30" s="568"/>
      <c r="H30" s="568"/>
      <c r="I30" s="77">
        <v>8.3299999999999999E-2</v>
      </c>
      <c r="J30" s="78">
        <f>ROUND($J$25*I30,2)</f>
        <v>93.4</v>
      </c>
    </row>
    <row r="31" spans="1:10" ht="13.5" customHeight="1" x14ac:dyDescent="0.35">
      <c r="A31" s="76" t="s">
        <v>36</v>
      </c>
      <c r="B31" s="589" t="s">
        <v>87</v>
      </c>
      <c r="C31" s="589"/>
      <c r="D31" s="589"/>
      <c r="E31" s="589"/>
      <c r="F31" s="589"/>
      <c r="G31" s="589"/>
      <c r="H31" s="589"/>
      <c r="I31" s="79">
        <v>3.0249999999999999E-2</v>
      </c>
      <c r="J31" s="78">
        <f>ROUND($J$25*I31,2)</f>
        <v>33.92</v>
      </c>
    </row>
    <row r="32" spans="1:10" x14ac:dyDescent="0.35">
      <c r="A32" s="574" t="s">
        <v>75</v>
      </c>
      <c r="B32" s="574"/>
      <c r="C32" s="574"/>
      <c r="D32" s="574"/>
      <c r="E32" s="574"/>
      <c r="F32" s="574"/>
      <c r="G32" s="574"/>
      <c r="H32" s="574"/>
      <c r="I32" s="574"/>
      <c r="J32" s="80">
        <f>SUM(J30+J31)</f>
        <v>127.32000000000001</v>
      </c>
    </row>
    <row r="33" spans="1:10" x14ac:dyDescent="0.35">
      <c r="A33" s="76" t="s">
        <v>38</v>
      </c>
      <c r="B33" s="573" t="s">
        <v>219</v>
      </c>
      <c r="C33" s="573"/>
      <c r="D33" s="573"/>
      <c r="E33" s="573"/>
      <c r="F33" s="573"/>
      <c r="G33" s="573"/>
      <c r="H33" s="573"/>
      <c r="I33" s="573"/>
      <c r="J33" s="81">
        <f>ROUND(I46*J32,2)</f>
        <v>45.56</v>
      </c>
    </row>
    <row r="34" spans="1:10" x14ac:dyDescent="0.35">
      <c r="A34" s="574" t="s">
        <v>75</v>
      </c>
      <c r="B34" s="574"/>
      <c r="C34" s="574"/>
      <c r="D34" s="574"/>
      <c r="E34" s="574"/>
      <c r="F34" s="574"/>
      <c r="G34" s="574"/>
      <c r="H34" s="574"/>
      <c r="I34" s="574"/>
      <c r="J34" s="83">
        <f>J32+J33</f>
        <v>172.88</v>
      </c>
    </row>
    <row r="35" spans="1:10" x14ac:dyDescent="0.35">
      <c r="A35" s="567"/>
      <c r="B35" s="567"/>
      <c r="C35" s="567"/>
      <c r="D35" s="567"/>
      <c r="E35" s="567"/>
      <c r="F35" s="567"/>
      <c r="G35" s="567"/>
      <c r="H35" s="567"/>
      <c r="I35" s="567"/>
      <c r="J35" s="567"/>
    </row>
    <row r="36" spans="1:10" x14ac:dyDescent="0.35">
      <c r="A36" s="587" t="s">
        <v>220</v>
      </c>
      <c r="B36" s="587"/>
      <c r="C36" s="587"/>
      <c r="D36" s="587"/>
      <c r="E36" s="587"/>
      <c r="F36" s="587"/>
      <c r="G36" s="587"/>
      <c r="H36" s="587"/>
      <c r="I36" s="587"/>
      <c r="J36" s="587"/>
    </row>
    <row r="37" spans="1:10" x14ac:dyDescent="0.35">
      <c r="A37" s="74" t="s">
        <v>89</v>
      </c>
      <c r="B37" s="582" t="s">
        <v>90</v>
      </c>
      <c r="C37" s="582"/>
      <c r="D37" s="582"/>
      <c r="E37" s="582"/>
      <c r="F37" s="582"/>
      <c r="G37" s="582"/>
      <c r="H37" s="582"/>
      <c r="I37" s="75" t="s">
        <v>221</v>
      </c>
      <c r="J37" s="75" t="s">
        <v>85</v>
      </c>
    </row>
    <row r="38" spans="1:10" x14ac:dyDescent="0.35">
      <c r="A38" s="76" t="s">
        <v>34</v>
      </c>
      <c r="B38" s="573" t="s">
        <v>91</v>
      </c>
      <c r="C38" s="573"/>
      <c r="D38" s="573"/>
      <c r="E38" s="573"/>
      <c r="F38" s="573"/>
      <c r="G38" s="573"/>
      <c r="H38" s="573"/>
      <c r="I38" s="84">
        <v>0.2</v>
      </c>
      <c r="J38" s="81">
        <f t="shared" ref="J38:J45" si="0">ROUND($J$25*I38,2)</f>
        <v>224.24</v>
      </c>
    </row>
    <row r="39" spans="1:10" x14ac:dyDescent="0.35">
      <c r="A39" s="76" t="s">
        <v>36</v>
      </c>
      <c r="B39" s="573" t="s">
        <v>92</v>
      </c>
      <c r="C39" s="573"/>
      <c r="D39" s="573"/>
      <c r="E39" s="573"/>
      <c r="F39" s="573"/>
      <c r="G39" s="573"/>
      <c r="H39" s="573"/>
      <c r="I39" s="84">
        <v>2.5000000000000001E-2</v>
      </c>
      <c r="J39" s="81">
        <f t="shared" si="0"/>
        <v>28.03</v>
      </c>
    </row>
    <row r="40" spans="1:10" ht="34.5" customHeight="1" x14ac:dyDescent="0.35">
      <c r="A40" s="76" t="s">
        <v>38</v>
      </c>
      <c r="B40" s="568" t="s">
        <v>289</v>
      </c>
      <c r="C40" s="568"/>
      <c r="D40" s="568"/>
      <c r="E40" s="67" t="s">
        <v>94</v>
      </c>
      <c r="F40" s="85">
        <v>0.02</v>
      </c>
      <c r="G40" s="67" t="s">
        <v>95</v>
      </c>
      <c r="H40" s="86">
        <v>0.99</v>
      </c>
      <c r="I40" s="87">
        <f>ROUND((F40*H40),6)</f>
        <v>1.9800000000000002E-2</v>
      </c>
      <c r="J40" s="81">
        <f t="shared" si="0"/>
        <v>22.2</v>
      </c>
    </row>
    <row r="41" spans="1:10" x14ac:dyDescent="0.35">
      <c r="A41" s="76" t="s">
        <v>40</v>
      </c>
      <c r="B41" s="573" t="s">
        <v>96</v>
      </c>
      <c r="C41" s="573"/>
      <c r="D41" s="573"/>
      <c r="E41" s="573"/>
      <c r="F41" s="573"/>
      <c r="G41" s="573"/>
      <c r="H41" s="573"/>
      <c r="I41" s="84">
        <v>1.4999999999999999E-2</v>
      </c>
      <c r="J41" s="81">
        <f t="shared" si="0"/>
        <v>16.82</v>
      </c>
    </row>
    <row r="42" spans="1:10" x14ac:dyDescent="0.35">
      <c r="A42" s="76" t="s">
        <v>73</v>
      </c>
      <c r="B42" s="573" t="s">
        <v>97</v>
      </c>
      <c r="C42" s="573"/>
      <c r="D42" s="573"/>
      <c r="E42" s="573"/>
      <c r="F42" s="573"/>
      <c r="G42" s="573"/>
      <c r="H42" s="573"/>
      <c r="I42" s="84">
        <v>0.01</v>
      </c>
      <c r="J42" s="81">
        <f t="shared" si="0"/>
        <v>11.21</v>
      </c>
    </row>
    <row r="43" spans="1:10" x14ac:dyDescent="0.35">
      <c r="A43" s="76" t="s">
        <v>76</v>
      </c>
      <c r="B43" s="573" t="s">
        <v>98</v>
      </c>
      <c r="C43" s="573"/>
      <c r="D43" s="573"/>
      <c r="E43" s="573"/>
      <c r="F43" s="573"/>
      <c r="G43" s="573"/>
      <c r="H43" s="573"/>
      <c r="I43" s="84">
        <v>6.0000000000000001E-3</v>
      </c>
      <c r="J43" s="81">
        <f t="shared" si="0"/>
        <v>6.73</v>
      </c>
    </row>
    <row r="44" spans="1:10" x14ac:dyDescent="0.35">
      <c r="A44" s="76" t="s">
        <v>99</v>
      </c>
      <c r="B44" s="573" t="s">
        <v>100</v>
      </c>
      <c r="C44" s="573"/>
      <c r="D44" s="573"/>
      <c r="E44" s="573"/>
      <c r="F44" s="573"/>
      <c r="G44" s="573"/>
      <c r="H44" s="573"/>
      <c r="I44" s="84">
        <v>2E-3</v>
      </c>
      <c r="J44" s="81">
        <f t="shared" si="0"/>
        <v>2.2400000000000002</v>
      </c>
    </row>
    <row r="45" spans="1:10" x14ac:dyDescent="0.35">
      <c r="A45" s="76" t="s">
        <v>101</v>
      </c>
      <c r="B45" s="573" t="s">
        <v>102</v>
      </c>
      <c r="C45" s="573"/>
      <c r="D45" s="573"/>
      <c r="E45" s="573"/>
      <c r="F45" s="573"/>
      <c r="G45" s="573"/>
      <c r="H45" s="573"/>
      <c r="I45" s="84">
        <v>0.08</v>
      </c>
      <c r="J45" s="81">
        <f t="shared" si="0"/>
        <v>89.7</v>
      </c>
    </row>
    <row r="46" spans="1:10" x14ac:dyDescent="0.35">
      <c r="A46" s="574" t="s">
        <v>75</v>
      </c>
      <c r="B46" s="574"/>
      <c r="C46" s="574"/>
      <c r="D46" s="574"/>
      <c r="E46" s="574"/>
      <c r="F46" s="574"/>
      <c r="G46" s="574"/>
      <c r="H46" s="574"/>
      <c r="I46" s="88">
        <f>SUM(I38:I45)</f>
        <v>0.35780000000000006</v>
      </c>
      <c r="J46" s="83">
        <f>SUM(J38:J45)</f>
        <v>401.17</v>
      </c>
    </row>
    <row r="47" spans="1:10" x14ac:dyDescent="0.35">
      <c r="A47" s="567"/>
      <c r="B47" s="567"/>
      <c r="C47" s="567"/>
      <c r="D47" s="567"/>
      <c r="E47" s="567"/>
      <c r="F47" s="567"/>
      <c r="G47" s="567"/>
      <c r="H47" s="567"/>
      <c r="I47" s="567"/>
      <c r="J47" s="567"/>
    </row>
    <row r="48" spans="1:10" x14ac:dyDescent="0.35">
      <c r="A48" s="587" t="s">
        <v>103</v>
      </c>
      <c r="B48" s="587"/>
      <c r="C48" s="587"/>
      <c r="D48" s="587"/>
      <c r="E48" s="587"/>
      <c r="F48" s="587"/>
      <c r="G48" s="587"/>
      <c r="H48" s="587"/>
      <c r="I48" s="587"/>
      <c r="J48" s="587"/>
    </row>
    <row r="49" spans="1:10" x14ac:dyDescent="0.35">
      <c r="A49" s="74" t="s">
        <v>104</v>
      </c>
      <c r="B49" s="582" t="s">
        <v>105</v>
      </c>
      <c r="C49" s="582"/>
      <c r="D49" s="582"/>
      <c r="E49" s="582"/>
      <c r="F49" s="582"/>
      <c r="G49" s="582"/>
      <c r="H49" s="582"/>
      <c r="I49" s="582"/>
      <c r="J49" s="75" t="s">
        <v>85</v>
      </c>
    </row>
    <row r="50" spans="1:10" ht="26.25" customHeight="1" x14ac:dyDescent="0.35">
      <c r="A50" s="76" t="s">
        <v>34</v>
      </c>
      <c r="B50" s="568" t="s">
        <v>223</v>
      </c>
      <c r="C50" s="568"/>
      <c r="D50" s="568"/>
      <c r="E50" s="568"/>
      <c r="F50" s="568"/>
      <c r="G50" s="568"/>
      <c r="H50" s="568"/>
      <c r="I50" s="568"/>
      <c r="J50" s="81">
        <f>IF(ROUND((I53*I51*I52)-(J23*0.06),2)&lt;0,0,ROUND((I53*I51*I52)-(J23*0.06),2))*1+(I51*I52*21.726-0.06*J23)*0</f>
        <v>91.13</v>
      </c>
    </row>
    <row r="51" spans="1:10" x14ac:dyDescent="0.35">
      <c r="A51" s="76"/>
      <c r="B51" s="573" t="s">
        <v>224</v>
      </c>
      <c r="C51" s="573"/>
      <c r="D51" s="573"/>
      <c r="E51" s="573"/>
      <c r="F51" s="573"/>
      <c r="G51" s="573"/>
      <c r="H51" s="573"/>
      <c r="I51" s="89">
        <v>3.6</v>
      </c>
      <c r="J51" s="90" t="s">
        <v>164</v>
      </c>
    </row>
    <row r="52" spans="1:10" x14ac:dyDescent="0.35">
      <c r="A52" s="76"/>
      <c r="B52" s="573" t="s">
        <v>225</v>
      </c>
      <c r="C52" s="573"/>
      <c r="D52" s="573"/>
      <c r="E52" s="573"/>
      <c r="F52" s="573"/>
      <c r="G52" s="573"/>
      <c r="H52" s="573"/>
      <c r="I52" s="91">
        <v>2</v>
      </c>
      <c r="J52" s="90"/>
    </row>
    <row r="53" spans="1:10" x14ac:dyDescent="0.35">
      <c r="A53" s="76"/>
      <c r="B53" s="573" t="s">
        <v>226</v>
      </c>
      <c r="C53" s="573"/>
      <c r="D53" s="573"/>
      <c r="E53" s="573"/>
      <c r="F53" s="573"/>
      <c r="G53" s="573"/>
      <c r="H53" s="573"/>
      <c r="I53" s="92">
        <v>22</v>
      </c>
      <c r="J53" s="90"/>
    </row>
    <row r="54" spans="1:10" ht="26.25" customHeight="1" x14ac:dyDescent="0.35">
      <c r="A54" s="76" t="s">
        <v>36</v>
      </c>
      <c r="B54" s="568" t="s">
        <v>227</v>
      </c>
      <c r="C54" s="568"/>
      <c r="D54" s="568"/>
      <c r="E54" s="568"/>
      <c r="F54" s="568"/>
      <c r="G54" s="568"/>
      <c r="H54" s="568"/>
      <c r="I54" s="568"/>
      <c r="J54" s="81">
        <f>ROUND(I56*I55*(1-0.01),2)*1+ROUND(21.726*6*(1-0.01),2)*0</f>
        <v>435.6</v>
      </c>
    </row>
    <row r="55" spans="1:10" x14ac:dyDescent="0.35">
      <c r="A55" s="76"/>
      <c r="B55" s="573" t="s">
        <v>228</v>
      </c>
      <c r="C55" s="573"/>
      <c r="D55" s="573"/>
      <c r="E55" s="573"/>
      <c r="F55" s="573"/>
      <c r="G55" s="573"/>
      <c r="H55" s="573"/>
      <c r="I55" s="89">
        <v>20</v>
      </c>
      <c r="J55" s="90" t="s">
        <v>164</v>
      </c>
    </row>
    <row r="56" spans="1:10" x14ac:dyDescent="0.35">
      <c r="A56" s="113"/>
      <c r="B56" s="573" t="s">
        <v>229</v>
      </c>
      <c r="C56" s="573"/>
      <c r="D56" s="573"/>
      <c r="E56" s="573"/>
      <c r="F56" s="573"/>
      <c r="G56" s="573"/>
      <c r="H56" s="573"/>
      <c r="I56" s="92">
        <v>22</v>
      </c>
      <c r="J56" s="90"/>
    </row>
    <row r="57" spans="1:10" ht="15" customHeight="1" x14ac:dyDescent="0.35">
      <c r="A57" s="76" t="s">
        <v>38</v>
      </c>
      <c r="B57" s="568" t="s">
        <v>230</v>
      </c>
      <c r="C57" s="568"/>
      <c r="D57" s="568"/>
      <c r="E57" s="568"/>
      <c r="F57" s="568"/>
      <c r="G57" s="568"/>
      <c r="H57" s="568"/>
      <c r="I57" s="568"/>
      <c r="J57" s="112"/>
    </row>
    <row r="58" spans="1:10" ht="15" customHeight="1" x14ac:dyDescent="0.35">
      <c r="A58" s="76" t="s">
        <v>40</v>
      </c>
      <c r="B58" s="568" t="s">
        <v>231</v>
      </c>
      <c r="C58" s="568"/>
      <c r="D58" s="568"/>
      <c r="E58" s="568"/>
      <c r="F58" s="568"/>
      <c r="G58" s="568"/>
      <c r="H58" s="568"/>
      <c r="I58" s="568"/>
      <c r="J58" s="81">
        <v>0.25</v>
      </c>
    </row>
    <row r="59" spans="1:10" ht="15" customHeight="1" x14ac:dyDescent="0.35">
      <c r="A59" s="76" t="s">
        <v>73</v>
      </c>
      <c r="B59" s="568" t="s">
        <v>232</v>
      </c>
      <c r="C59" s="568"/>
      <c r="D59" s="568"/>
      <c r="E59" s="568"/>
      <c r="F59" s="568"/>
      <c r="G59" s="568"/>
      <c r="H59" s="568"/>
      <c r="I59" s="568"/>
      <c r="J59" s="93">
        <v>75</v>
      </c>
    </row>
    <row r="60" spans="1:10" x14ac:dyDescent="0.35">
      <c r="A60" s="76" t="s">
        <v>76</v>
      </c>
      <c r="B60" s="573" t="s">
        <v>233</v>
      </c>
      <c r="C60" s="573"/>
      <c r="D60" s="573"/>
      <c r="E60" s="573"/>
      <c r="F60" s="573"/>
      <c r="G60" s="573"/>
      <c r="H60" s="573"/>
      <c r="I60" s="573"/>
      <c r="J60" s="93">
        <v>1.35</v>
      </c>
    </row>
    <row r="61" spans="1:10" x14ac:dyDescent="0.35">
      <c r="A61" s="574" t="s">
        <v>75</v>
      </c>
      <c r="B61" s="574"/>
      <c r="C61" s="574"/>
      <c r="D61" s="574"/>
      <c r="E61" s="574"/>
      <c r="F61" s="574"/>
      <c r="G61" s="574"/>
      <c r="H61" s="574"/>
      <c r="I61" s="574"/>
      <c r="J61" s="83">
        <f>SUM(J50:J60)</f>
        <v>603.33000000000004</v>
      </c>
    </row>
    <row r="62" spans="1:10" x14ac:dyDescent="0.35">
      <c r="A62" s="567"/>
      <c r="B62" s="567"/>
      <c r="C62" s="567"/>
      <c r="D62" s="567"/>
      <c r="E62" s="567"/>
      <c r="F62" s="567"/>
      <c r="G62" s="567"/>
      <c r="H62" s="567"/>
      <c r="I62" s="567"/>
      <c r="J62" s="567"/>
    </row>
    <row r="63" spans="1:10" x14ac:dyDescent="0.35">
      <c r="A63" s="587" t="s">
        <v>234</v>
      </c>
      <c r="B63" s="587"/>
      <c r="C63" s="587"/>
      <c r="D63" s="587"/>
      <c r="E63" s="587"/>
      <c r="F63" s="587"/>
      <c r="G63" s="587"/>
      <c r="H63" s="587"/>
      <c r="I63" s="587"/>
      <c r="J63" s="587"/>
    </row>
    <row r="64" spans="1:10" ht="15" customHeight="1" x14ac:dyDescent="0.35">
      <c r="A64" s="70">
        <v>2</v>
      </c>
      <c r="B64" s="579" t="s">
        <v>117</v>
      </c>
      <c r="C64" s="579"/>
      <c r="D64" s="579"/>
      <c r="E64" s="579"/>
      <c r="F64" s="579"/>
      <c r="G64" s="579"/>
      <c r="H64" s="579"/>
      <c r="I64" s="579"/>
      <c r="J64" s="70" t="s">
        <v>85</v>
      </c>
    </row>
    <row r="65" spans="1:10" ht="15" customHeight="1" x14ac:dyDescent="0.35">
      <c r="A65" s="67" t="s">
        <v>82</v>
      </c>
      <c r="B65" s="67"/>
      <c r="C65" s="568" t="s">
        <v>118</v>
      </c>
      <c r="D65" s="568"/>
      <c r="E65" s="568"/>
      <c r="F65" s="568"/>
      <c r="G65" s="568"/>
      <c r="H65" s="568"/>
      <c r="I65" s="568"/>
      <c r="J65" s="94">
        <f>J34</f>
        <v>172.88</v>
      </c>
    </row>
    <row r="66" spans="1:10" ht="15" customHeight="1" x14ac:dyDescent="0.35">
      <c r="A66" s="67" t="s">
        <v>89</v>
      </c>
      <c r="B66" s="67"/>
      <c r="C66" s="568" t="s">
        <v>90</v>
      </c>
      <c r="D66" s="568"/>
      <c r="E66" s="568"/>
      <c r="F66" s="568"/>
      <c r="G66" s="568"/>
      <c r="H66" s="568"/>
      <c r="I66" s="568"/>
      <c r="J66" s="94">
        <f>J46</f>
        <v>401.17</v>
      </c>
    </row>
    <row r="67" spans="1:10" ht="15" customHeight="1" x14ac:dyDescent="0.35">
      <c r="A67" s="67" t="s">
        <v>104</v>
      </c>
      <c r="B67" s="67"/>
      <c r="C67" s="568" t="s">
        <v>105</v>
      </c>
      <c r="D67" s="568"/>
      <c r="E67" s="568"/>
      <c r="F67" s="568"/>
      <c r="G67" s="568"/>
      <c r="H67" s="568"/>
      <c r="I67" s="568"/>
      <c r="J67" s="94">
        <f>J61</f>
        <v>603.33000000000004</v>
      </c>
    </row>
    <row r="68" spans="1:10" ht="15" customHeight="1" x14ac:dyDescent="0.35">
      <c r="A68" s="580" t="s">
        <v>75</v>
      </c>
      <c r="B68" s="580"/>
      <c r="C68" s="580"/>
      <c r="D68" s="580"/>
      <c r="E68" s="580"/>
      <c r="F68" s="580"/>
      <c r="G68" s="580"/>
      <c r="H68" s="580"/>
      <c r="I68" s="580"/>
      <c r="J68" s="95">
        <f>SUM(J65+J66+J67)</f>
        <v>1177.3800000000001</v>
      </c>
    </row>
    <row r="69" spans="1:10" x14ac:dyDescent="0.35">
      <c r="A69" s="567"/>
      <c r="B69" s="567"/>
      <c r="C69" s="567"/>
      <c r="D69" s="567"/>
      <c r="E69" s="567"/>
      <c r="F69" s="567"/>
      <c r="G69" s="567"/>
      <c r="H69" s="567"/>
      <c r="I69" s="567"/>
      <c r="J69" s="567"/>
    </row>
    <row r="70" spans="1:10" ht="15" customHeight="1" x14ac:dyDescent="0.35">
      <c r="A70" s="577" t="s">
        <v>235</v>
      </c>
      <c r="B70" s="577"/>
      <c r="C70" s="577"/>
      <c r="D70" s="577"/>
      <c r="E70" s="577"/>
      <c r="F70" s="577"/>
      <c r="G70" s="577"/>
      <c r="H70" s="577"/>
      <c r="I70" s="577"/>
      <c r="J70" s="577"/>
    </row>
    <row r="71" spans="1:10" ht="15" customHeight="1" x14ac:dyDescent="0.35">
      <c r="A71" s="96">
        <v>3</v>
      </c>
      <c r="B71" s="579" t="s">
        <v>120</v>
      </c>
      <c r="C71" s="579"/>
      <c r="D71" s="579"/>
      <c r="E71" s="579"/>
      <c r="F71" s="579"/>
      <c r="G71" s="579"/>
      <c r="H71" s="579"/>
      <c r="I71" s="579"/>
      <c r="J71" s="96" t="s">
        <v>121</v>
      </c>
    </row>
    <row r="72" spans="1:10" ht="34.5" customHeight="1" x14ac:dyDescent="0.35">
      <c r="A72" s="76" t="s">
        <v>34</v>
      </c>
      <c r="B72" s="568" t="s">
        <v>294</v>
      </c>
      <c r="C72" s="568"/>
      <c r="D72" s="568"/>
      <c r="E72" s="568"/>
      <c r="F72" s="568"/>
      <c r="G72" s="568"/>
      <c r="H72" s="568"/>
      <c r="I72" s="568"/>
      <c r="J72" s="81">
        <f>ROUND((($J$25/12)+($J$30/12)+($J$25/12/12)+($J$31/12))*(30/30)*0.05,2)</f>
        <v>5.59</v>
      </c>
    </row>
    <row r="73" spans="1:10" ht="15" customHeight="1" x14ac:dyDescent="0.35">
      <c r="A73" s="76" t="s">
        <v>36</v>
      </c>
      <c r="B73" s="568" t="s">
        <v>123</v>
      </c>
      <c r="C73" s="568"/>
      <c r="D73" s="568"/>
      <c r="E73" s="568"/>
      <c r="F73" s="568"/>
      <c r="G73" s="568"/>
      <c r="H73" s="568"/>
      <c r="I73" s="568"/>
      <c r="J73" s="81">
        <f>ROUND($J$72*I45,2)</f>
        <v>0.45</v>
      </c>
    </row>
    <row r="74" spans="1:10" ht="34.5" customHeight="1" x14ac:dyDescent="0.35">
      <c r="A74" s="76" t="s">
        <v>38</v>
      </c>
      <c r="B74" s="568" t="s">
        <v>295</v>
      </c>
      <c r="C74" s="568"/>
      <c r="D74" s="568"/>
      <c r="E74" s="568"/>
      <c r="F74" s="568"/>
      <c r="G74" s="568"/>
      <c r="H74" s="568"/>
      <c r="I74" s="98">
        <v>1.9E-3</v>
      </c>
      <c r="J74" s="81">
        <f>ROUND($J$25*I74,2)</f>
        <v>2.13</v>
      </c>
    </row>
    <row r="75" spans="1:10" ht="24" customHeight="1" x14ac:dyDescent="0.35">
      <c r="A75" s="76" t="s">
        <v>40</v>
      </c>
      <c r="B75" s="568" t="s">
        <v>296</v>
      </c>
      <c r="C75" s="568"/>
      <c r="D75" s="568"/>
      <c r="E75" s="568"/>
      <c r="F75" s="568"/>
      <c r="G75" s="568"/>
      <c r="H75" s="568"/>
      <c r="I75" s="568"/>
      <c r="J75" s="81">
        <f>ROUND(((($J$25/30)*7)/$H$10)*0.9,2)</f>
        <v>11.77</v>
      </c>
    </row>
    <row r="76" spans="1:10" ht="15" customHeight="1" x14ac:dyDescent="0.35">
      <c r="A76" s="76" t="s">
        <v>73</v>
      </c>
      <c r="B76" s="568" t="s">
        <v>239</v>
      </c>
      <c r="C76" s="568"/>
      <c r="D76" s="568"/>
      <c r="E76" s="568"/>
      <c r="F76" s="568"/>
      <c r="G76" s="568"/>
      <c r="H76" s="568"/>
      <c r="I76" s="568"/>
      <c r="J76" s="81">
        <f>ROUND($I$46*J75,2)</f>
        <v>4.21</v>
      </c>
    </row>
    <row r="77" spans="1:10" ht="34.5" customHeight="1" x14ac:dyDescent="0.35">
      <c r="A77" s="76" t="s">
        <v>76</v>
      </c>
      <c r="B77" s="568" t="s">
        <v>297</v>
      </c>
      <c r="C77" s="568"/>
      <c r="D77" s="568"/>
      <c r="E77" s="568"/>
      <c r="F77" s="568"/>
      <c r="G77" s="568"/>
      <c r="H77" s="568"/>
      <c r="I77" s="98">
        <v>3.8100000000000002E-2</v>
      </c>
      <c r="J77" s="81">
        <f>ROUND($J$25*I77,2)</f>
        <v>42.72</v>
      </c>
    </row>
    <row r="78" spans="1:10" x14ac:dyDescent="0.35">
      <c r="A78" s="574" t="s">
        <v>75</v>
      </c>
      <c r="B78" s="574"/>
      <c r="C78" s="574"/>
      <c r="D78" s="574"/>
      <c r="E78" s="574"/>
      <c r="F78" s="574"/>
      <c r="G78" s="574"/>
      <c r="H78" s="574"/>
      <c r="I78" s="574"/>
      <c r="J78" s="83">
        <f>SUM(J72:J77)</f>
        <v>66.87</v>
      </c>
    </row>
    <row r="79" spans="1:10" x14ac:dyDescent="0.35">
      <c r="A79" s="567"/>
      <c r="B79" s="567"/>
      <c r="C79" s="567"/>
      <c r="D79" s="567"/>
      <c r="E79" s="567"/>
      <c r="F79" s="567"/>
      <c r="G79" s="567"/>
      <c r="H79" s="567"/>
      <c r="I79" s="567"/>
      <c r="J79" s="567"/>
    </row>
    <row r="80" spans="1:10" ht="15" customHeight="1" x14ac:dyDescent="0.35">
      <c r="A80" s="577" t="s">
        <v>241</v>
      </c>
      <c r="B80" s="577"/>
      <c r="C80" s="577"/>
      <c r="D80" s="577"/>
      <c r="E80" s="577"/>
      <c r="F80" s="577"/>
      <c r="G80" s="577"/>
      <c r="H80" s="577"/>
      <c r="I80" s="577"/>
      <c r="J80" s="577"/>
    </row>
    <row r="81" spans="1:10" ht="15" customHeight="1" x14ac:dyDescent="0.35">
      <c r="A81" s="585" t="s">
        <v>279</v>
      </c>
      <c r="B81" s="585"/>
      <c r="C81" s="585"/>
      <c r="D81" s="585"/>
      <c r="E81" s="585"/>
      <c r="F81" s="585"/>
      <c r="G81" s="585"/>
      <c r="H81" s="585"/>
      <c r="I81" s="585"/>
      <c r="J81" s="99">
        <f>J85+J25+J30+J31</f>
        <v>1350.2700000000002</v>
      </c>
    </row>
    <row r="82" spans="1:10" x14ac:dyDescent="0.35">
      <c r="A82" s="567"/>
      <c r="B82" s="567"/>
      <c r="C82" s="567"/>
      <c r="D82" s="567"/>
      <c r="E82" s="567"/>
      <c r="F82" s="567"/>
      <c r="G82" s="567"/>
      <c r="H82" s="567"/>
      <c r="I82" s="567"/>
      <c r="J82" s="567"/>
    </row>
    <row r="83" spans="1:10" ht="15" customHeight="1" x14ac:dyDescent="0.35">
      <c r="A83" s="586" t="s">
        <v>243</v>
      </c>
      <c r="B83" s="586"/>
      <c r="C83" s="586"/>
      <c r="D83" s="586"/>
      <c r="E83" s="586"/>
      <c r="F83" s="586"/>
      <c r="G83" s="586"/>
      <c r="H83" s="586"/>
      <c r="I83" s="586"/>
      <c r="J83" s="586"/>
    </row>
    <row r="84" spans="1:10" x14ac:dyDescent="0.35">
      <c r="A84" s="74" t="s">
        <v>134</v>
      </c>
      <c r="B84" s="582" t="s">
        <v>244</v>
      </c>
      <c r="C84" s="582"/>
      <c r="D84" s="582"/>
      <c r="E84" s="582"/>
      <c r="F84" s="582"/>
      <c r="G84" s="582"/>
      <c r="H84" s="582"/>
      <c r="I84" s="582"/>
      <c r="J84" s="74" t="s">
        <v>85</v>
      </c>
    </row>
    <row r="85" spans="1:10" ht="37.5" customHeight="1" x14ac:dyDescent="0.35">
      <c r="A85" s="76" t="s">
        <v>34</v>
      </c>
      <c r="B85" s="568" t="s">
        <v>245</v>
      </c>
      <c r="C85" s="568"/>
      <c r="D85" s="568"/>
      <c r="E85" s="568"/>
      <c r="F85" s="568"/>
      <c r="G85" s="568"/>
      <c r="H85" s="568"/>
      <c r="I85" s="79">
        <v>9.0749999999999997E-2</v>
      </c>
      <c r="J85" s="81">
        <f>ROUND(($J$25*I85),2)</f>
        <v>101.75</v>
      </c>
    </row>
    <row r="86" spans="1:10" ht="26.25" customHeight="1" x14ac:dyDescent="0.35">
      <c r="A86" s="76" t="s">
        <v>36</v>
      </c>
      <c r="B86" s="568" t="s">
        <v>246</v>
      </c>
      <c r="C86" s="568"/>
      <c r="D86" s="568"/>
      <c r="E86" s="568"/>
      <c r="F86" s="568"/>
      <c r="G86" s="568"/>
      <c r="H86" s="568"/>
      <c r="I86" s="568"/>
      <c r="J86" s="91">
        <f>ROUND((($J$81/30)*2.96)/12,2)</f>
        <v>11.1</v>
      </c>
    </row>
    <row r="87" spans="1:10" ht="26.25" customHeight="1" x14ac:dyDescent="0.35">
      <c r="A87" s="76" t="s">
        <v>38</v>
      </c>
      <c r="B87" s="568" t="s">
        <v>247</v>
      </c>
      <c r="C87" s="568"/>
      <c r="D87" s="568"/>
      <c r="E87" s="568"/>
      <c r="F87" s="568"/>
      <c r="G87" s="568"/>
      <c r="H87" s="568"/>
      <c r="I87" s="568"/>
      <c r="J87" s="91">
        <f>ROUND((($J$81/30)*5)/12*0.015,2)</f>
        <v>0.28000000000000003</v>
      </c>
    </row>
    <row r="88" spans="1:10" ht="26.25" customHeight="1" x14ac:dyDescent="0.35">
      <c r="A88" s="76" t="s">
        <v>40</v>
      </c>
      <c r="B88" s="568" t="s">
        <v>248</v>
      </c>
      <c r="C88" s="568"/>
      <c r="D88" s="568"/>
      <c r="E88" s="568"/>
      <c r="F88" s="568"/>
      <c r="G88" s="568"/>
      <c r="H88" s="568"/>
      <c r="I88" s="568"/>
      <c r="J88" s="81">
        <f>ROUND(((($J$81/30)*15)/12)*0.0078,2)</f>
        <v>0.44</v>
      </c>
    </row>
    <row r="89" spans="1:10" ht="26.25" customHeight="1" x14ac:dyDescent="0.35">
      <c r="A89" s="76" t="s">
        <v>76</v>
      </c>
      <c r="B89" s="568" t="s">
        <v>250</v>
      </c>
      <c r="C89" s="568"/>
      <c r="D89" s="568"/>
      <c r="E89" s="568"/>
      <c r="F89" s="568"/>
      <c r="G89" s="568"/>
      <c r="H89" s="568"/>
      <c r="I89" s="568"/>
      <c r="J89" s="81">
        <f>ROUND(((($J$81/30)*5)/12),2)</f>
        <v>18.75</v>
      </c>
    </row>
    <row r="90" spans="1:10" x14ac:dyDescent="0.35">
      <c r="A90" s="583" t="s">
        <v>75</v>
      </c>
      <c r="B90" s="583"/>
      <c r="C90" s="583"/>
      <c r="D90" s="583"/>
      <c r="E90" s="583"/>
      <c r="F90" s="583"/>
      <c r="G90" s="583"/>
      <c r="H90" s="583"/>
      <c r="I90" s="583"/>
      <c r="J90" s="81">
        <f>SUM(J85:J89)</f>
        <v>132.32</v>
      </c>
    </row>
    <row r="91" spans="1:10" x14ac:dyDescent="0.35">
      <c r="A91" s="76" t="s">
        <v>99</v>
      </c>
      <c r="B91" s="573" t="s">
        <v>251</v>
      </c>
      <c r="C91" s="573"/>
      <c r="D91" s="573"/>
      <c r="E91" s="573"/>
      <c r="F91" s="573"/>
      <c r="G91" s="573"/>
      <c r="H91" s="573"/>
      <c r="I91" s="573"/>
      <c r="J91" s="81">
        <f>ROUND(I46*J90,2)</f>
        <v>47.34</v>
      </c>
    </row>
    <row r="92" spans="1:10" x14ac:dyDescent="0.35">
      <c r="A92" s="574" t="s">
        <v>75</v>
      </c>
      <c r="B92" s="574"/>
      <c r="C92" s="574"/>
      <c r="D92" s="574"/>
      <c r="E92" s="574"/>
      <c r="F92" s="574"/>
      <c r="G92" s="574"/>
      <c r="H92" s="574"/>
      <c r="I92" s="574"/>
      <c r="J92" s="83">
        <f>SUM(J90:J91)</f>
        <v>179.66</v>
      </c>
    </row>
    <row r="94" spans="1:10" ht="15" customHeight="1" x14ac:dyDescent="0.35">
      <c r="A94" s="581" t="s">
        <v>252</v>
      </c>
      <c r="B94" s="581"/>
      <c r="C94" s="581"/>
      <c r="D94" s="581"/>
      <c r="E94" s="581"/>
      <c r="F94" s="581"/>
      <c r="G94" s="581"/>
      <c r="H94" s="581"/>
      <c r="I94" s="581"/>
      <c r="J94" s="581"/>
    </row>
    <row r="95" spans="1:10" x14ac:dyDescent="0.35">
      <c r="A95" s="74" t="s">
        <v>145</v>
      </c>
      <c r="B95" s="582" t="s">
        <v>62</v>
      </c>
      <c r="C95" s="582"/>
      <c r="D95" s="582"/>
      <c r="E95" s="582"/>
      <c r="F95" s="582"/>
      <c r="G95" s="582"/>
      <c r="H95" s="582"/>
      <c r="I95" s="582"/>
      <c r="J95" s="101" t="s">
        <v>85</v>
      </c>
    </row>
    <row r="96" spans="1:10" x14ac:dyDescent="0.35">
      <c r="A96" s="76" t="s">
        <v>34</v>
      </c>
      <c r="B96" s="573" t="s">
        <v>253</v>
      </c>
      <c r="C96" s="573"/>
      <c r="D96" s="573"/>
      <c r="E96" s="573"/>
      <c r="F96" s="573"/>
      <c r="G96" s="573"/>
      <c r="H96" s="573"/>
      <c r="I96" s="573"/>
      <c r="J96" s="81">
        <v>0</v>
      </c>
    </row>
    <row r="97" spans="1:10" x14ac:dyDescent="0.35">
      <c r="A97" s="583" t="s">
        <v>75</v>
      </c>
      <c r="B97" s="583"/>
      <c r="C97" s="583"/>
      <c r="D97" s="583"/>
      <c r="E97" s="583"/>
      <c r="F97" s="583"/>
      <c r="G97" s="583"/>
      <c r="H97" s="583"/>
      <c r="I97" s="583"/>
      <c r="J97" s="81">
        <v>0</v>
      </c>
    </row>
    <row r="98" spans="1:10" x14ac:dyDescent="0.35">
      <c r="A98" s="76" t="s">
        <v>36</v>
      </c>
      <c r="B98" s="573" t="s">
        <v>254</v>
      </c>
      <c r="C98" s="573"/>
      <c r="D98" s="573"/>
      <c r="E98" s="573"/>
      <c r="F98" s="573"/>
      <c r="G98" s="573"/>
      <c r="H98" s="573"/>
      <c r="I98" s="573"/>
      <c r="J98" s="81">
        <f>ROUND(I46*J97,2)</f>
        <v>0</v>
      </c>
    </row>
    <row r="99" spans="1:10" x14ac:dyDescent="0.35">
      <c r="A99" s="574" t="s">
        <v>75</v>
      </c>
      <c r="B99" s="574"/>
      <c r="C99" s="574"/>
      <c r="D99" s="574"/>
      <c r="E99" s="574"/>
      <c r="F99" s="574"/>
      <c r="G99" s="574"/>
      <c r="H99" s="574"/>
      <c r="I99" s="574"/>
      <c r="J99" s="83">
        <f>SUM(J97:J98)</f>
        <v>0</v>
      </c>
    </row>
    <row r="100" spans="1:10" x14ac:dyDescent="0.35">
      <c r="A100" s="584"/>
      <c r="B100" s="584"/>
      <c r="C100" s="584"/>
      <c r="D100" s="584"/>
      <c r="E100" s="584"/>
      <c r="F100" s="584"/>
      <c r="G100" s="584"/>
      <c r="H100" s="584"/>
      <c r="I100" s="584"/>
      <c r="J100" s="584"/>
    </row>
    <row r="101" spans="1:10" ht="15" customHeight="1" x14ac:dyDescent="0.35">
      <c r="A101" s="581" t="s">
        <v>255</v>
      </c>
      <c r="B101" s="581"/>
      <c r="C101" s="581"/>
      <c r="D101" s="581"/>
      <c r="E101" s="581"/>
      <c r="F101" s="581"/>
      <c r="G101" s="581"/>
      <c r="H101" s="581"/>
      <c r="I101" s="581"/>
      <c r="J101" s="581"/>
    </row>
    <row r="102" spans="1:10" ht="15" customHeight="1" x14ac:dyDescent="0.35">
      <c r="A102" s="70">
        <v>4</v>
      </c>
      <c r="B102" s="579" t="s">
        <v>149</v>
      </c>
      <c r="C102" s="579"/>
      <c r="D102" s="579"/>
      <c r="E102" s="579"/>
      <c r="F102" s="579"/>
      <c r="G102" s="579"/>
      <c r="H102" s="579"/>
      <c r="I102" s="579"/>
      <c r="J102" s="102" t="s">
        <v>85</v>
      </c>
    </row>
    <row r="103" spans="1:10" ht="15" customHeight="1" x14ac:dyDescent="0.35">
      <c r="A103" s="67" t="s">
        <v>134</v>
      </c>
      <c r="B103" s="568" t="s">
        <v>244</v>
      </c>
      <c r="C103" s="568"/>
      <c r="D103" s="568"/>
      <c r="E103" s="568"/>
      <c r="F103" s="568"/>
      <c r="G103" s="568"/>
      <c r="H103" s="568"/>
      <c r="I103" s="568"/>
      <c r="J103" s="81">
        <f>J92</f>
        <v>179.66</v>
      </c>
    </row>
    <row r="104" spans="1:10" ht="15" customHeight="1" x14ac:dyDescent="0.35">
      <c r="A104" s="67" t="s">
        <v>145</v>
      </c>
      <c r="B104" s="568" t="s">
        <v>62</v>
      </c>
      <c r="C104" s="568"/>
      <c r="D104" s="568"/>
      <c r="E104" s="568"/>
      <c r="F104" s="568"/>
      <c r="G104" s="568"/>
      <c r="H104" s="568"/>
      <c r="I104" s="568"/>
      <c r="J104" s="81">
        <f>J99</f>
        <v>0</v>
      </c>
    </row>
    <row r="105" spans="1:10" ht="15" customHeight="1" x14ac:dyDescent="0.35">
      <c r="A105" s="580" t="s">
        <v>75</v>
      </c>
      <c r="B105" s="580"/>
      <c r="C105" s="580"/>
      <c r="D105" s="580"/>
      <c r="E105" s="580"/>
      <c r="F105" s="580"/>
      <c r="G105" s="580"/>
      <c r="H105" s="580"/>
      <c r="I105" s="580"/>
      <c r="J105" s="83">
        <f>SUM(J103+J104)</f>
        <v>179.66</v>
      </c>
    </row>
    <row r="106" spans="1:10" x14ac:dyDescent="0.35">
      <c r="A106" s="567"/>
      <c r="B106" s="567"/>
      <c r="C106" s="567"/>
      <c r="D106" s="567"/>
      <c r="E106" s="567"/>
      <c r="F106" s="567"/>
      <c r="G106" s="567"/>
      <c r="H106" s="567"/>
      <c r="I106" s="567"/>
      <c r="J106" s="567"/>
    </row>
    <row r="107" spans="1:10" ht="15" customHeight="1" x14ac:dyDescent="0.35">
      <c r="A107" s="577" t="s">
        <v>256</v>
      </c>
      <c r="B107" s="577"/>
      <c r="C107" s="577"/>
      <c r="D107" s="577"/>
      <c r="E107" s="577"/>
      <c r="F107" s="577"/>
      <c r="G107" s="577"/>
      <c r="H107" s="577"/>
      <c r="I107" s="577"/>
      <c r="J107" s="577"/>
    </row>
    <row r="108" spans="1:10" x14ac:dyDescent="0.35">
      <c r="A108" s="96">
        <v>5</v>
      </c>
      <c r="B108" s="578" t="s">
        <v>151</v>
      </c>
      <c r="C108" s="578"/>
      <c r="D108" s="578"/>
      <c r="E108" s="578"/>
      <c r="F108" s="578"/>
      <c r="G108" s="578"/>
      <c r="H108" s="578"/>
      <c r="I108" s="578"/>
      <c r="J108" s="96" t="s">
        <v>85</v>
      </c>
    </row>
    <row r="109" spans="1:10" x14ac:dyDescent="0.35">
      <c r="A109" s="76" t="s">
        <v>34</v>
      </c>
      <c r="B109" s="573" t="s">
        <v>152</v>
      </c>
      <c r="C109" s="573"/>
      <c r="D109" s="573"/>
      <c r="E109" s="573"/>
      <c r="F109" s="573"/>
      <c r="G109" s="573"/>
      <c r="H109" s="573"/>
      <c r="I109" s="573"/>
      <c r="J109" s="81">
        <v>37.159999999999997</v>
      </c>
    </row>
    <row r="110" spans="1:10" x14ac:dyDescent="0.35">
      <c r="A110" s="76" t="s">
        <v>36</v>
      </c>
      <c r="B110" s="573" t="s">
        <v>153</v>
      </c>
      <c r="C110" s="573"/>
      <c r="D110" s="573"/>
      <c r="E110" s="573"/>
      <c r="F110" s="573"/>
      <c r="G110" s="573"/>
      <c r="H110" s="573"/>
      <c r="I110" s="573"/>
      <c r="J110" s="93" t="s">
        <v>71</v>
      </c>
    </row>
    <row r="111" spans="1:10" x14ac:dyDescent="0.35">
      <c r="A111" s="76" t="s">
        <v>38</v>
      </c>
      <c r="B111" s="573" t="s">
        <v>257</v>
      </c>
      <c r="C111" s="573"/>
      <c r="D111" s="573"/>
      <c r="E111" s="573"/>
      <c r="F111" s="573"/>
      <c r="G111" s="573"/>
      <c r="H111" s="573"/>
      <c r="I111" s="573"/>
      <c r="J111" s="93" t="s">
        <v>71</v>
      </c>
    </row>
    <row r="112" spans="1:10" x14ac:dyDescent="0.35">
      <c r="A112" s="76" t="s">
        <v>40</v>
      </c>
      <c r="B112" s="573" t="s">
        <v>155</v>
      </c>
      <c r="C112" s="573"/>
      <c r="D112" s="573"/>
      <c r="E112" s="573"/>
      <c r="F112" s="573"/>
      <c r="G112" s="573"/>
      <c r="H112" s="573"/>
      <c r="I112" s="573"/>
      <c r="J112" s="93" t="s">
        <v>71</v>
      </c>
    </row>
    <row r="113" spans="1:10" x14ac:dyDescent="0.35">
      <c r="A113" s="574" t="s">
        <v>75</v>
      </c>
      <c r="B113" s="574"/>
      <c r="C113" s="574"/>
      <c r="D113" s="574"/>
      <c r="E113" s="574"/>
      <c r="F113" s="574"/>
      <c r="G113" s="574"/>
      <c r="H113" s="574"/>
      <c r="I113" s="574"/>
      <c r="J113" s="99">
        <f>SUM(J109:J112)</f>
        <v>37.159999999999997</v>
      </c>
    </row>
    <row r="114" spans="1:10" x14ac:dyDescent="0.35">
      <c r="A114" s="567"/>
      <c r="B114" s="567"/>
      <c r="C114" s="567"/>
      <c r="D114" s="567"/>
      <c r="E114" s="567"/>
      <c r="F114" s="567"/>
      <c r="G114" s="567"/>
      <c r="H114" s="567"/>
      <c r="I114" s="567"/>
      <c r="J114" s="567"/>
    </row>
    <row r="115" spans="1:10" ht="15" customHeight="1" x14ac:dyDescent="0.35">
      <c r="A115" s="577" t="s">
        <v>258</v>
      </c>
      <c r="B115" s="577"/>
      <c r="C115" s="577"/>
      <c r="D115" s="577"/>
      <c r="E115" s="577"/>
      <c r="F115" s="577"/>
      <c r="G115" s="577"/>
      <c r="H115" s="577"/>
      <c r="I115" s="577"/>
      <c r="J115" s="577"/>
    </row>
    <row r="116" spans="1:10" x14ac:dyDescent="0.35">
      <c r="A116" s="96">
        <v>6</v>
      </c>
      <c r="B116" s="578" t="s">
        <v>157</v>
      </c>
      <c r="C116" s="578"/>
      <c r="D116" s="578"/>
      <c r="E116" s="578"/>
      <c r="F116" s="578"/>
      <c r="G116" s="578"/>
      <c r="H116" s="578"/>
      <c r="I116" s="70" t="s">
        <v>221</v>
      </c>
      <c r="J116" s="105" t="s">
        <v>85</v>
      </c>
    </row>
    <row r="117" spans="1:10" ht="49.5" customHeight="1" x14ac:dyDescent="0.35">
      <c r="A117" s="568" t="s">
        <v>259</v>
      </c>
      <c r="B117" s="568"/>
      <c r="C117" s="568"/>
      <c r="D117" s="568"/>
      <c r="E117" s="568"/>
      <c r="F117" s="568"/>
      <c r="G117" s="568"/>
      <c r="H117" s="568"/>
      <c r="I117" s="106" t="s">
        <v>164</v>
      </c>
      <c r="J117" s="81">
        <f>SUM(J25+J68+J78+J105+J113)</f>
        <v>2582.2699999999995</v>
      </c>
    </row>
    <row r="118" spans="1:10" x14ac:dyDescent="0.35">
      <c r="A118" s="76" t="s">
        <v>34</v>
      </c>
      <c r="B118" s="573" t="s">
        <v>159</v>
      </c>
      <c r="C118" s="573"/>
      <c r="D118" s="573"/>
      <c r="E118" s="573"/>
      <c r="F118" s="573"/>
      <c r="G118" s="573"/>
      <c r="H118" s="573"/>
      <c r="I118" s="84">
        <v>7.1000000000000004E-3</v>
      </c>
      <c r="J118" s="81">
        <f>ROUND(I118*J117,2)</f>
        <v>18.329999999999998</v>
      </c>
    </row>
    <row r="119" spans="1:10" ht="49.5" customHeight="1" x14ac:dyDescent="0.35">
      <c r="A119" s="568" t="s">
        <v>260</v>
      </c>
      <c r="B119" s="568"/>
      <c r="C119" s="568"/>
      <c r="D119" s="568"/>
      <c r="E119" s="568"/>
      <c r="F119" s="568"/>
      <c r="G119" s="568"/>
      <c r="H119" s="568"/>
      <c r="I119" s="107" t="s">
        <v>164</v>
      </c>
      <c r="J119" s="81">
        <f>SUM(J25+J68+J78+J105+J113+J118)</f>
        <v>2600.5999999999995</v>
      </c>
    </row>
    <row r="120" spans="1:10" x14ac:dyDescent="0.35">
      <c r="A120" s="76" t="s">
        <v>36</v>
      </c>
      <c r="B120" s="573" t="s">
        <v>161</v>
      </c>
      <c r="C120" s="573"/>
      <c r="D120" s="573"/>
      <c r="E120" s="573"/>
      <c r="F120" s="573"/>
      <c r="G120" s="573"/>
      <c r="H120" s="573"/>
      <c r="I120" s="84">
        <f>I118</f>
        <v>7.1000000000000004E-3</v>
      </c>
      <c r="J120" s="81">
        <f>ROUND(I120*J119,2)</f>
        <v>18.46</v>
      </c>
    </row>
    <row r="121" spans="1:10" ht="49.5" customHeight="1" x14ac:dyDescent="0.35">
      <c r="A121" s="568" t="s">
        <v>261</v>
      </c>
      <c r="B121" s="568"/>
      <c r="C121" s="568"/>
      <c r="D121" s="568"/>
      <c r="E121" s="568"/>
      <c r="F121" s="568"/>
      <c r="G121" s="568"/>
      <c r="H121" s="568"/>
      <c r="I121" s="107" t="s">
        <v>164</v>
      </c>
      <c r="J121" s="81">
        <f>SUM(J25+J68+J78+J105+J113+J118+J120)</f>
        <v>2619.0599999999995</v>
      </c>
    </row>
    <row r="122" spans="1:10" x14ac:dyDescent="0.35">
      <c r="A122" s="76" t="s">
        <v>38</v>
      </c>
      <c r="B122" s="573" t="s">
        <v>163</v>
      </c>
      <c r="C122" s="573"/>
      <c r="D122" s="573"/>
      <c r="E122" s="573"/>
      <c r="F122" s="573"/>
      <c r="G122" s="573"/>
      <c r="H122" s="573"/>
      <c r="I122" s="77" t="s">
        <v>164</v>
      </c>
      <c r="J122" s="90" t="s">
        <v>164</v>
      </c>
    </row>
    <row r="123" spans="1:10" x14ac:dyDescent="0.35">
      <c r="A123" s="76"/>
      <c r="B123" s="573" t="s">
        <v>165</v>
      </c>
      <c r="C123" s="573"/>
      <c r="D123" s="573"/>
      <c r="E123" s="573"/>
      <c r="F123" s="573"/>
      <c r="G123" s="573"/>
      <c r="H123" s="573"/>
      <c r="I123" s="77" t="s">
        <v>164</v>
      </c>
      <c r="J123" s="90" t="s">
        <v>164</v>
      </c>
    </row>
    <row r="124" spans="1:10" x14ac:dyDescent="0.35">
      <c r="A124" s="76"/>
      <c r="B124" s="600" t="s">
        <v>300</v>
      </c>
      <c r="C124" s="600"/>
      <c r="D124" s="600"/>
      <c r="E124" s="600"/>
      <c r="F124" s="600"/>
      <c r="G124" s="600"/>
      <c r="H124" s="600"/>
      <c r="I124" s="108">
        <v>0.03</v>
      </c>
      <c r="J124" s="81">
        <f>ROUND(($J$121/(1-$I$133))*I124,2)</f>
        <v>86.01</v>
      </c>
    </row>
    <row r="125" spans="1:10" x14ac:dyDescent="0.35">
      <c r="A125" s="76"/>
      <c r="B125" s="600" t="s">
        <v>167</v>
      </c>
      <c r="C125" s="600"/>
      <c r="D125" s="600"/>
      <c r="E125" s="600"/>
      <c r="F125" s="600"/>
      <c r="G125" s="600"/>
      <c r="H125" s="600"/>
      <c r="I125" s="108">
        <v>6.4999999999999997E-3</v>
      </c>
      <c r="J125" s="81">
        <f>ROUND(($J$121/(1-$I$133))*I125,2)</f>
        <v>18.64</v>
      </c>
    </row>
    <row r="126" spans="1:10" ht="15" customHeight="1" x14ac:dyDescent="0.35">
      <c r="A126" s="76"/>
      <c r="B126" s="601" t="s">
        <v>264</v>
      </c>
      <c r="C126" s="601"/>
      <c r="D126" s="601"/>
      <c r="E126" s="601"/>
      <c r="F126" s="601"/>
      <c r="G126" s="601"/>
      <c r="H126" s="601"/>
      <c r="I126" s="98" t="s">
        <v>164</v>
      </c>
      <c r="J126" s="90" t="s">
        <v>164</v>
      </c>
    </row>
    <row r="127" spans="1:10" ht="15" customHeight="1" x14ac:dyDescent="0.35">
      <c r="A127" s="76"/>
      <c r="B127" s="601" t="s">
        <v>265</v>
      </c>
      <c r="C127" s="601"/>
      <c r="D127" s="601"/>
      <c r="E127" s="601"/>
      <c r="F127" s="601"/>
      <c r="G127" s="601"/>
      <c r="H127" s="601"/>
      <c r="I127" s="98" t="s">
        <v>164</v>
      </c>
      <c r="J127" s="90" t="s">
        <v>164</v>
      </c>
    </row>
    <row r="128" spans="1:10" x14ac:dyDescent="0.35">
      <c r="A128" s="76"/>
      <c r="B128" s="573" t="s">
        <v>168</v>
      </c>
      <c r="C128" s="573"/>
      <c r="D128" s="573"/>
      <c r="E128" s="573"/>
      <c r="F128" s="573"/>
      <c r="G128" s="573"/>
      <c r="H128" s="573"/>
      <c r="I128" s="98" t="s">
        <v>164</v>
      </c>
      <c r="J128" s="90" t="s">
        <v>164</v>
      </c>
    </row>
    <row r="129" spans="1:10" x14ac:dyDescent="0.35">
      <c r="A129" s="76"/>
      <c r="B129" s="573" t="s">
        <v>266</v>
      </c>
      <c r="C129" s="573"/>
      <c r="D129" s="573"/>
      <c r="E129" s="573"/>
      <c r="F129" s="573"/>
      <c r="G129" s="573"/>
      <c r="H129" s="573"/>
      <c r="I129" s="98" t="s">
        <v>164</v>
      </c>
      <c r="J129" s="90" t="s">
        <v>164</v>
      </c>
    </row>
    <row r="130" spans="1:10" x14ac:dyDescent="0.35">
      <c r="A130" s="76"/>
      <c r="B130" s="600" t="s">
        <v>301</v>
      </c>
      <c r="C130" s="600"/>
      <c r="D130" s="600"/>
      <c r="E130" s="600"/>
      <c r="F130" s="600"/>
      <c r="G130" s="600"/>
      <c r="H130" s="600"/>
      <c r="I130" s="108">
        <v>0.05</v>
      </c>
      <c r="J130" s="81">
        <f>ROUND(($J$121/(1-$I$133))*I130,2)</f>
        <v>143.35</v>
      </c>
    </row>
    <row r="131" spans="1:10" x14ac:dyDescent="0.35">
      <c r="A131" s="574" t="s">
        <v>75</v>
      </c>
      <c r="B131" s="574"/>
      <c r="C131" s="574"/>
      <c r="D131" s="574"/>
      <c r="E131" s="574"/>
      <c r="F131" s="574"/>
      <c r="G131" s="574"/>
      <c r="H131" s="574"/>
      <c r="I131" s="574"/>
      <c r="J131" s="83">
        <f>SUM(J118+J120+J124+J125+J130)</f>
        <v>284.78999999999996</v>
      </c>
    </row>
    <row r="132" spans="1:10" x14ac:dyDescent="0.35">
      <c r="A132" s="567"/>
      <c r="B132" s="567"/>
      <c r="C132" s="567"/>
      <c r="D132" s="567"/>
      <c r="E132" s="567"/>
      <c r="F132" s="567"/>
      <c r="G132" s="567"/>
      <c r="H132" s="567"/>
      <c r="I132" s="567"/>
      <c r="J132" s="567"/>
    </row>
    <row r="133" spans="1:10" ht="15" customHeight="1" x14ac:dyDescent="0.35">
      <c r="A133" s="575" t="s">
        <v>170</v>
      </c>
      <c r="B133" s="575"/>
      <c r="C133" s="575"/>
      <c r="D133" s="575"/>
      <c r="E133" s="575"/>
      <c r="F133" s="575"/>
      <c r="G133" s="575"/>
      <c r="H133" s="575"/>
      <c r="I133" s="84">
        <f>SUM(I124:I130)</f>
        <v>8.6499999999999994E-2</v>
      </c>
      <c r="J133" s="81">
        <f>SUM(J124:J130)</f>
        <v>248</v>
      </c>
    </row>
    <row r="134" spans="1:10" x14ac:dyDescent="0.35">
      <c r="A134" s="576" t="s">
        <v>171</v>
      </c>
      <c r="B134" s="576"/>
      <c r="C134" s="576"/>
      <c r="D134" s="573" t="s">
        <v>172</v>
      </c>
      <c r="E134" s="573"/>
      <c r="F134" s="573"/>
      <c r="G134" s="573"/>
      <c r="H134" s="573"/>
      <c r="I134" s="573"/>
      <c r="J134" s="573"/>
    </row>
    <row r="135" spans="1:10" x14ac:dyDescent="0.35">
      <c r="A135" s="576"/>
      <c r="B135" s="576"/>
      <c r="C135" s="576"/>
      <c r="D135" s="573" t="s">
        <v>173</v>
      </c>
      <c r="E135" s="573"/>
      <c r="F135" s="573"/>
      <c r="G135" s="573"/>
      <c r="H135" s="573"/>
      <c r="I135" s="573"/>
      <c r="J135" s="573"/>
    </row>
    <row r="136" spans="1:10" x14ac:dyDescent="0.35">
      <c r="A136" s="576"/>
      <c r="B136" s="576"/>
      <c r="C136" s="576"/>
      <c r="D136" s="573" t="s">
        <v>174</v>
      </c>
      <c r="E136" s="573"/>
      <c r="F136" s="573"/>
      <c r="G136" s="573"/>
      <c r="H136" s="573"/>
      <c r="I136" s="573"/>
      <c r="J136" s="573"/>
    </row>
    <row r="137" spans="1:10" x14ac:dyDescent="0.35">
      <c r="A137" s="567"/>
      <c r="B137" s="567"/>
      <c r="C137" s="567"/>
      <c r="D137" s="567"/>
      <c r="E137" s="567"/>
      <c r="F137" s="567"/>
      <c r="G137" s="567"/>
      <c r="H137" s="567"/>
      <c r="I137" s="567"/>
      <c r="J137" s="567"/>
    </row>
    <row r="138" spans="1:10" ht="15" customHeight="1" x14ac:dyDescent="0.35">
      <c r="A138" s="570" t="s">
        <v>302</v>
      </c>
      <c r="B138" s="570"/>
      <c r="C138" s="570"/>
      <c r="D138" s="570"/>
      <c r="E138" s="570"/>
      <c r="F138" s="570"/>
      <c r="G138" s="570"/>
      <c r="H138" s="570"/>
      <c r="I138" s="570"/>
      <c r="J138" s="570"/>
    </row>
    <row r="139" spans="1:10" ht="15" customHeight="1" x14ac:dyDescent="0.35">
      <c r="A139" s="598" t="s">
        <v>269</v>
      </c>
      <c r="B139" s="598"/>
      <c r="C139" s="598"/>
      <c r="D139" s="598"/>
      <c r="E139" s="598"/>
      <c r="F139" s="598"/>
      <c r="G139" s="598"/>
      <c r="H139" s="598"/>
      <c r="I139" s="598"/>
      <c r="J139" s="100" t="s">
        <v>85</v>
      </c>
    </row>
    <row r="140" spans="1:10" ht="15" customHeight="1" x14ac:dyDescent="0.35">
      <c r="A140" s="109" t="s">
        <v>34</v>
      </c>
      <c r="B140" s="565" t="s">
        <v>177</v>
      </c>
      <c r="C140" s="565"/>
      <c r="D140" s="565"/>
      <c r="E140" s="565"/>
      <c r="F140" s="565"/>
      <c r="G140" s="565"/>
      <c r="H140" s="565"/>
      <c r="I140" s="565"/>
      <c r="J140" s="93">
        <f>J25</f>
        <v>1121.2</v>
      </c>
    </row>
    <row r="141" spans="1:10" ht="15" customHeight="1" x14ac:dyDescent="0.35">
      <c r="A141" s="109" t="s">
        <v>36</v>
      </c>
      <c r="B141" s="565" t="s">
        <v>80</v>
      </c>
      <c r="C141" s="565"/>
      <c r="D141" s="565"/>
      <c r="E141" s="565"/>
      <c r="F141" s="565"/>
      <c r="G141" s="565"/>
      <c r="H141" s="565"/>
      <c r="I141" s="565"/>
      <c r="J141" s="93">
        <f>J68</f>
        <v>1177.3800000000001</v>
      </c>
    </row>
    <row r="142" spans="1:10" ht="15" customHeight="1" x14ac:dyDescent="0.35">
      <c r="A142" s="109" t="s">
        <v>38</v>
      </c>
      <c r="B142" s="565" t="s">
        <v>178</v>
      </c>
      <c r="C142" s="565"/>
      <c r="D142" s="565"/>
      <c r="E142" s="565"/>
      <c r="F142" s="565"/>
      <c r="G142" s="565"/>
      <c r="H142" s="565"/>
      <c r="I142" s="565"/>
      <c r="J142" s="93">
        <f>J78</f>
        <v>66.87</v>
      </c>
    </row>
    <row r="143" spans="1:10" ht="15" customHeight="1" x14ac:dyDescent="0.35">
      <c r="A143" s="109" t="s">
        <v>40</v>
      </c>
      <c r="B143" s="565" t="s">
        <v>179</v>
      </c>
      <c r="C143" s="565"/>
      <c r="D143" s="565"/>
      <c r="E143" s="565"/>
      <c r="F143" s="565"/>
      <c r="G143" s="565"/>
      <c r="H143" s="565"/>
      <c r="I143" s="565"/>
      <c r="J143" s="93">
        <f>J105</f>
        <v>179.66</v>
      </c>
    </row>
    <row r="144" spans="1:10" ht="15" customHeight="1" x14ac:dyDescent="0.35">
      <c r="A144" s="109" t="s">
        <v>73</v>
      </c>
      <c r="B144" s="565" t="s">
        <v>180</v>
      </c>
      <c r="C144" s="565"/>
      <c r="D144" s="565"/>
      <c r="E144" s="565"/>
      <c r="F144" s="565"/>
      <c r="G144" s="565"/>
      <c r="H144" s="565"/>
      <c r="I144" s="565"/>
      <c r="J144" s="93">
        <f>J113</f>
        <v>37.159999999999997</v>
      </c>
    </row>
    <row r="145" spans="1:10" ht="15" customHeight="1" x14ac:dyDescent="0.35">
      <c r="A145" s="572" t="s">
        <v>181</v>
      </c>
      <c r="B145" s="572"/>
      <c r="C145" s="572"/>
      <c r="D145" s="572"/>
      <c r="E145" s="572"/>
      <c r="F145" s="572"/>
      <c r="G145" s="572"/>
      <c r="H145" s="572"/>
      <c r="I145" s="572"/>
      <c r="J145" s="99">
        <f>SUM(J140:J144)</f>
        <v>2582.2699999999995</v>
      </c>
    </row>
    <row r="146" spans="1:10" ht="15" customHeight="1" x14ac:dyDescent="0.35">
      <c r="A146" s="109" t="s">
        <v>76</v>
      </c>
      <c r="B146" s="565" t="s">
        <v>182</v>
      </c>
      <c r="C146" s="565"/>
      <c r="D146" s="565"/>
      <c r="E146" s="565"/>
      <c r="F146" s="565"/>
      <c r="G146" s="565"/>
      <c r="H146" s="565"/>
      <c r="I146" s="565"/>
      <c r="J146" s="93">
        <f>J131</f>
        <v>284.78999999999996</v>
      </c>
    </row>
    <row r="147" spans="1:10" ht="15" customHeight="1" x14ac:dyDescent="0.35">
      <c r="A147" s="566" t="s">
        <v>270</v>
      </c>
      <c r="B147" s="566"/>
      <c r="C147" s="566"/>
      <c r="D147" s="566"/>
      <c r="E147" s="566"/>
      <c r="F147" s="566"/>
      <c r="G147" s="566"/>
      <c r="H147" s="566"/>
      <c r="I147" s="566"/>
      <c r="J147" s="110">
        <f>SUM(J145:J146)</f>
        <v>2867.0599999999995</v>
      </c>
    </row>
    <row r="148" spans="1:10" x14ac:dyDescent="0.35">
      <c r="A148" s="567"/>
      <c r="B148" s="567"/>
      <c r="C148" s="567"/>
      <c r="D148" s="567"/>
      <c r="E148" s="567"/>
      <c r="F148" s="567"/>
      <c r="G148" s="567"/>
      <c r="H148" s="567"/>
      <c r="I148" s="567"/>
      <c r="J148" s="567"/>
    </row>
    <row r="149" spans="1:10" ht="15" customHeight="1" x14ac:dyDescent="0.35">
      <c r="A149" s="568" t="s">
        <v>188</v>
      </c>
      <c r="B149" s="568"/>
      <c r="C149" s="568"/>
      <c r="D149" s="568"/>
      <c r="E149" s="568"/>
      <c r="F149" s="568"/>
      <c r="G149" s="569">
        <v>2867.06</v>
      </c>
      <c r="H149" s="569"/>
      <c r="I149" s="569"/>
      <c r="J149" s="569"/>
    </row>
  </sheetData>
  <mergeCells count="159">
    <mergeCell ref="A1:J1"/>
    <mergeCell ref="A2:J2"/>
    <mergeCell ref="A3:J3"/>
    <mergeCell ref="A4:J4"/>
    <mergeCell ref="A5:J5"/>
    <mergeCell ref="A6:J6"/>
    <mergeCell ref="B7:G7"/>
    <mergeCell ref="H7:J7"/>
    <mergeCell ref="B8:G8"/>
    <mergeCell ref="H8:J8"/>
    <mergeCell ref="B9:G9"/>
    <mergeCell ref="H9:J9"/>
    <mergeCell ref="B10:G10"/>
    <mergeCell ref="H10:J10"/>
    <mergeCell ref="A11:J11"/>
    <mergeCell ref="A12:J12"/>
    <mergeCell ref="A13:J13"/>
    <mergeCell ref="A14:J14"/>
    <mergeCell ref="B15:G15"/>
    <mergeCell ref="H15:J15"/>
    <mergeCell ref="B16:G16"/>
    <mergeCell ref="H16:J16"/>
    <mergeCell ref="B17:G17"/>
    <mergeCell ref="H17:J17"/>
    <mergeCell ref="B18:G18"/>
    <mergeCell ref="H18:J18"/>
    <mergeCell ref="B19:G19"/>
    <mergeCell ref="H19:J19"/>
    <mergeCell ref="A20:J20"/>
    <mergeCell ref="A21:J21"/>
    <mergeCell ref="B22:I22"/>
    <mergeCell ref="B23:I23"/>
    <mergeCell ref="B24:I24"/>
    <mergeCell ref="A25:I25"/>
    <mergeCell ref="A26:J26"/>
    <mergeCell ref="A27:J27"/>
    <mergeCell ref="A28:J28"/>
    <mergeCell ref="B29:I29"/>
    <mergeCell ref="B30:H30"/>
    <mergeCell ref="B31:H31"/>
    <mergeCell ref="A32:I32"/>
    <mergeCell ref="B33:I33"/>
    <mergeCell ref="A34:I34"/>
    <mergeCell ref="A35:J35"/>
    <mergeCell ref="A36:J36"/>
    <mergeCell ref="B37:H37"/>
    <mergeCell ref="B38:H38"/>
    <mergeCell ref="B39:H39"/>
    <mergeCell ref="B40:D40"/>
    <mergeCell ref="B41:H41"/>
    <mergeCell ref="B42:H42"/>
    <mergeCell ref="B43:H43"/>
    <mergeCell ref="B44:H44"/>
    <mergeCell ref="B45:H45"/>
    <mergeCell ref="A46:H46"/>
    <mergeCell ref="A47:J47"/>
    <mergeCell ref="A48:J48"/>
    <mergeCell ref="B49:I49"/>
    <mergeCell ref="B50:I50"/>
    <mergeCell ref="B51:H51"/>
    <mergeCell ref="B52:H52"/>
    <mergeCell ref="B53:H53"/>
    <mergeCell ref="B54:I54"/>
    <mergeCell ref="B55:H55"/>
    <mergeCell ref="B56:H56"/>
    <mergeCell ref="B57:I57"/>
    <mergeCell ref="B58:I58"/>
    <mergeCell ref="B59:I59"/>
    <mergeCell ref="B60:I60"/>
    <mergeCell ref="A61:I61"/>
    <mergeCell ref="A62:J62"/>
    <mergeCell ref="A63:J63"/>
    <mergeCell ref="B64:I64"/>
    <mergeCell ref="C65:I65"/>
    <mergeCell ref="C66:I66"/>
    <mergeCell ref="C67:I67"/>
    <mergeCell ref="A68:I68"/>
    <mergeCell ref="A69:J69"/>
    <mergeCell ref="A70:J70"/>
    <mergeCell ref="B71:I71"/>
    <mergeCell ref="B72:I72"/>
    <mergeCell ref="B73:I73"/>
    <mergeCell ref="B74:H74"/>
    <mergeCell ref="B75:I75"/>
    <mergeCell ref="B76:I76"/>
    <mergeCell ref="B77:H77"/>
    <mergeCell ref="A78:I78"/>
    <mergeCell ref="A79:J79"/>
    <mergeCell ref="A80:J80"/>
    <mergeCell ref="A81:I81"/>
    <mergeCell ref="A82:J82"/>
    <mergeCell ref="A83:J83"/>
    <mergeCell ref="B84:I84"/>
    <mergeCell ref="B85:H85"/>
    <mergeCell ref="B86:I86"/>
    <mergeCell ref="B87:I87"/>
    <mergeCell ref="B88:I88"/>
    <mergeCell ref="B89:I89"/>
    <mergeCell ref="A90:I90"/>
    <mergeCell ref="B91:I91"/>
    <mergeCell ref="A92:I92"/>
    <mergeCell ref="A94:J94"/>
    <mergeCell ref="B95:I95"/>
    <mergeCell ref="B96:I96"/>
    <mergeCell ref="A97:I97"/>
    <mergeCell ref="B98:I98"/>
    <mergeCell ref="A99:I99"/>
    <mergeCell ref="A100:J100"/>
    <mergeCell ref="A101:J101"/>
    <mergeCell ref="B102:I102"/>
    <mergeCell ref="B103:I103"/>
    <mergeCell ref="B104:I104"/>
    <mergeCell ref="A105:I105"/>
    <mergeCell ref="A106:J106"/>
    <mergeCell ref="A107:J107"/>
    <mergeCell ref="B108:I108"/>
    <mergeCell ref="B109:I109"/>
    <mergeCell ref="B110:I110"/>
    <mergeCell ref="B111:I111"/>
    <mergeCell ref="B112:I112"/>
    <mergeCell ref="A113:I113"/>
    <mergeCell ref="A114:J114"/>
    <mergeCell ref="A115:J115"/>
    <mergeCell ref="B116:H116"/>
    <mergeCell ref="A117:H117"/>
    <mergeCell ref="B118:H118"/>
    <mergeCell ref="A119:H119"/>
    <mergeCell ref="B120:H120"/>
    <mergeCell ref="A121:H121"/>
    <mergeCell ref="B122:H122"/>
    <mergeCell ref="B123:H123"/>
    <mergeCell ref="B124:H124"/>
    <mergeCell ref="B125:H125"/>
    <mergeCell ref="B126:H126"/>
    <mergeCell ref="B127:H127"/>
    <mergeCell ref="B128:H128"/>
    <mergeCell ref="B129:H129"/>
    <mergeCell ref="B130:H130"/>
    <mergeCell ref="A131:I131"/>
    <mergeCell ref="A132:J132"/>
    <mergeCell ref="A133:H133"/>
    <mergeCell ref="A134:C136"/>
    <mergeCell ref="D134:J134"/>
    <mergeCell ref="D135:J135"/>
    <mergeCell ref="D136:J136"/>
    <mergeCell ref="A137:J137"/>
    <mergeCell ref="A147:I147"/>
    <mergeCell ref="A148:J148"/>
    <mergeCell ref="A149:F149"/>
    <mergeCell ref="G149:J149"/>
    <mergeCell ref="A138:J138"/>
    <mergeCell ref="A139:I139"/>
    <mergeCell ref="B140:I140"/>
    <mergeCell ref="B141:I141"/>
    <mergeCell ref="B142:I142"/>
    <mergeCell ref="B143:I143"/>
    <mergeCell ref="B144:I144"/>
    <mergeCell ref="A145:I145"/>
    <mergeCell ref="B146:I146"/>
  </mergeCells>
  <printOptions horizontalCentered="1" verticalCentered="1"/>
  <pageMargins left="0" right="0" top="0" bottom="0.13888888888888901" header="0.511811023622047" footer="0"/>
  <pageSetup paperSize="9" pageOrder="overThenDown" orientation="portrait" useFirstPageNumber="1" horizontalDpi="300" verticalDpi="300"/>
  <headerFooter>
    <oddFooter>&amp;C&amp;10Página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J171"/>
  <sheetViews>
    <sheetView zoomScaleNormal="100" workbookViewId="0"/>
  </sheetViews>
  <sheetFormatPr defaultColWidth="8.33203125" defaultRowHeight="14.5" x14ac:dyDescent="0.3"/>
  <cols>
    <col min="1" max="1" width="13.83203125" style="66" customWidth="1"/>
    <col min="2" max="2" width="10.08203125" style="66" customWidth="1"/>
    <col min="3" max="3" width="12.08203125" style="66" customWidth="1"/>
    <col min="4" max="4" width="9.25" style="66" customWidth="1"/>
    <col min="5" max="5" width="11.33203125" style="66" customWidth="1"/>
    <col min="6" max="6" width="10.33203125" style="66" customWidth="1"/>
    <col min="7" max="7" width="9" style="66" customWidth="1"/>
    <col min="8" max="8" width="10.33203125" style="66" customWidth="1"/>
    <col min="9" max="9" width="13.25" style="114" customWidth="1"/>
    <col min="10" max="1016" width="8.33203125" style="66"/>
    <col min="1017" max="1017" width="8.83203125" style="66" customWidth="1"/>
    <col min="1018" max="1023" width="8.33203125" style="66"/>
    <col min="1024" max="1024" width="8.83203125" style="66" customWidth="1"/>
  </cols>
  <sheetData>
    <row r="1" spans="1:10" ht="19.5" customHeight="1" x14ac:dyDescent="0.3">
      <c r="A1" s="626" t="s">
        <v>303</v>
      </c>
      <c r="B1" s="626"/>
      <c r="C1" s="626"/>
      <c r="D1" s="626"/>
      <c r="E1" s="626"/>
      <c r="F1" s="626"/>
      <c r="G1" s="626"/>
      <c r="H1" s="626"/>
      <c r="I1" s="626"/>
    </row>
    <row r="2" spans="1:10" ht="19.5" customHeight="1" x14ac:dyDescent="0.3">
      <c r="A2" s="596" t="s">
        <v>30</v>
      </c>
      <c r="B2" s="596"/>
      <c r="C2" s="596"/>
      <c r="D2" s="596"/>
      <c r="E2" s="596"/>
      <c r="F2" s="596"/>
      <c r="G2" s="596"/>
      <c r="H2" s="596"/>
      <c r="I2" s="596"/>
    </row>
    <row r="3" spans="1:10" ht="19.5" customHeight="1" x14ac:dyDescent="0.3">
      <c r="A3" s="568" t="s">
        <v>206</v>
      </c>
      <c r="B3" s="568"/>
      <c r="C3" s="568"/>
      <c r="D3" s="568"/>
      <c r="E3" s="568"/>
      <c r="F3" s="568"/>
      <c r="G3" s="568"/>
      <c r="H3" s="568"/>
      <c r="I3" s="568"/>
      <c r="J3" s="115"/>
    </row>
    <row r="4" spans="1:10" ht="19.5" customHeight="1" x14ac:dyDescent="0.3">
      <c r="A4" s="568" t="s">
        <v>207</v>
      </c>
      <c r="B4" s="568"/>
      <c r="C4" s="568"/>
      <c r="D4" s="568"/>
      <c r="E4" s="568"/>
      <c r="F4" s="568"/>
      <c r="G4" s="568"/>
      <c r="H4" s="568"/>
      <c r="I4" s="568"/>
      <c r="J4" s="115"/>
    </row>
    <row r="5" spans="1:10" ht="18.75" customHeight="1" x14ac:dyDescent="0.35">
      <c r="A5" s="567"/>
      <c r="B5" s="567"/>
      <c r="C5" s="567"/>
      <c r="D5" s="567"/>
      <c r="E5" s="567"/>
      <c r="F5" s="567"/>
      <c r="G5" s="567"/>
      <c r="H5" s="567"/>
      <c r="I5" s="567"/>
    </row>
    <row r="6" spans="1:10" ht="19.5" customHeight="1" x14ac:dyDescent="0.3">
      <c r="A6" s="570" t="s">
        <v>33</v>
      </c>
      <c r="B6" s="570"/>
      <c r="C6" s="570"/>
      <c r="D6" s="570"/>
      <c r="E6" s="570"/>
      <c r="F6" s="570"/>
      <c r="G6" s="570"/>
      <c r="H6" s="570"/>
      <c r="I6" s="570"/>
    </row>
    <row r="7" spans="1:10" ht="19.5" customHeight="1" x14ac:dyDescent="0.3">
      <c r="A7" s="67" t="s">
        <v>34</v>
      </c>
      <c r="B7" s="568" t="s">
        <v>35</v>
      </c>
      <c r="C7" s="568"/>
      <c r="D7" s="568"/>
      <c r="E7" s="568"/>
      <c r="F7" s="568"/>
      <c r="G7" s="568"/>
      <c r="H7" s="627" t="s">
        <v>164</v>
      </c>
      <c r="I7" s="627"/>
    </row>
    <row r="8" spans="1:10" ht="19.5" customHeight="1" x14ac:dyDescent="0.3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</row>
    <row r="9" spans="1:10" ht="19.5" customHeight="1" x14ac:dyDescent="0.3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208</v>
      </c>
      <c r="I9" s="593"/>
    </row>
    <row r="10" spans="1:10" ht="19.5" customHeight="1" x14ac:dyDescent="0.3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</row>
    <row r="11" spans="1:10" ht="18.75" customHeight="1" x14ac:dyDescent="0.35">
      <c r="A11" s="567"/>
      <c r="B11" s="567"/>
      <c r="C11" s="567"/>
      <c r="D11" s="567"/>
      <c r="E11" s="567"/>
      <c r="F11" s="567"/>
      <c r="G11" s="567"/>
      <c r="H11" s="567"/>
      <c r="I11" s="567"/>
    </row>
    <row r="12" spans="1:10" ht="48" customHeight="1" x14ac:dyDescent="0.3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</row>
    <row r="13" spans="1:10" ht="18.75" customHeight="1" x14ac:dyDescent="0.35">
      <c r="A13" s="567"/>
      <c r="B13" s="567"/>
      <c r="C13" s="567"/>
      <c r="D13" s="567"/>
      <c r="E13" s="567"/>
      <c r="F13" s="567"/>
      <c r="G13" s="567"/>
      <c r="H13" s="567"/>
      <c r="I13" s="567"/>
    </row>
    <row r="14" spans="1:10" ht="19.5" customHeight="1" x14ac:dyDescent="0.3">
      <c r="A14" s="586" t="s">
        <v>47</v>
      </c>
      <c r="B14" s="586"/>
      <c r="C14" s="586"/>
      <c r="D14" s="586"/>
      <c r="E14" s="586"/>
      <c r="F14" s="586"/>
      <c r="G14" s="586"/>
      <c r="H14" s="586"/>
      <c r="I14" s="586"/>
    </row>
    <row r="15" spans="1:10" ht="19.5" customHeight="1" x14ac:dyDescent="0.3">
      <c r="A15" s="67">
        <v>1</v>
      </c>
      <c r="B15" s="568" t="s">
        <v>48</v>
      </c>
      <c r="C15" s="568"/>
      <c r="D15" s="568"/>
      <c r="E15" s="568"/>
      <c r="F15" s="568"/>
      <c r="G15" s="568"/>
      <c r="H15" s="596" t="s">
        <v>299</v>
      </c>
      <c r="I15" s="596"/>
    </row>
    <row r="16" spans="1:10" ht="19.5" customHeight="1" x14ac:dyDescent="0.3">
      <c r="A16" s="67">
        <v>2</v>
      </c>
      <c r="B16" s="568" t="s">
        <v>49</v>
      </c>
      <c r="C16" s="568"/>
      <c r="D16" s="568"/>
      <c r="E16" s="568"/>
      <c r="F16" s="568"/>
      <c r="G16" s="568"/>
      <c r="H16" s="596">
        <v>7832</v>
      </c>
      <c r="I16" s="596"/>
    </row>
    <row r="17" spans="1:1017" ht="19.5" customHeight="1" x14ac:dyDescent="0.3">
      <c r="A17" s="67">
        <v>3</v>
      </c>
      <c r="B17" s="568" t="s">
        <v>285</v>
      </c>
      <c r="C17" s="568"/>
      <c r="D17" s="568"/>
      <c r="E17" s="568"/>
      <c r="F17" s="568"/>
      <c r="G17" s="568"/>
      <c r="H17" s="624">
        <v>1121.2</v>
      </c>
      <c r="I17" s="624"/>
    </row>
    <row r="18" spans="1:1017" ht="19.5" customHeight="1" x14ac:dyDescent="0.3">
      <c r="A18" s="67">
        <v>4</v>
      </c>
      <c r="B18" s="568" t="s">
        <v>51</v>
      </c>
      <c r="C18" s="568"/>
      <c r="D18" s="568"/>
      <c r="E18" s="568"/>
      <c r="F18" s="568"/>
      <c r="G18" s="568"/>
      <c r="H18" s="596" t="s">
        <v>299</v>
      </c>
      <c r="I18" s="596"/>
    </row>
    <row r="19" spans="1:1017" ht="19.5" customHeight="1" x14ac:dyDescent="0.35">
      <c r="A19" s="67">
        <v>5</v>
      </c>
      <c r="B19" s="568" t="s">
        <v>52</v>
      </c>
      <c r="C19" s="568"/>
      <c r="D19" s="568"/>
      <c r="E19" s="568"/>
      <c r="F19" s="568"/>
      <c r="G19" s="568"/>
      <c r="H19" s="625">
        <v>43831</v>
      </c>
      <c r="I19" s="625"/>
      <c r="R19" s="621"/>
      <c r="S19" s="621"/>
      <c r="T19" s="621"/>
      <c r="U19" s="621"/>
      <c r="V19" s="621"/>
      <c r="W19" s="621"/>
      <c r="X19" s="621"/>
      <c r="Y19" s="621"/>
      <c r="Z19" s="621"/>
      <c r="AA19" s="621"/>
      <c r="AB19" s="621"/>
      <c r="AC19" s="621"/>
      <c r="AD19" s="621"/>
      <c r="AE19" s="621"/>
      <c r="AF19" s="621"/>
      <c r="AG19" s="621"/>
      <c r="AH19" s="621"/>
      <c r="AI19" s="621"/>
      <c r="AJ19" s="621"/>
      <c r="AK19" s="621"/>
      <c r="AL19" s="621"/>
      <c r="AM19" s="621"/>
      <c r="AN19" s="621"/>
      <c r="AO19" s="621"/>
      <c r="AP19" s="621"/>
      <c r="AQ19" s="621"/>
      <c r="AR19" s="621"/>
      <c r="AS19" s="621"/>
      <c r="AT19" s="621"/>
      <c r="AU19" s="621"/>
      <c r="AV19" s="621"/>
      <c r="AW19" s="621"/>
      <c r="AX19" s="621"/>
      <c r="AY19" s="621"/>
      <c r="AZ19" s="621"/>
      <c r="BA19" s="621"/>
      <c r="BB19" s="621"/>
      <c r="BC19" s="621"/>
      <c r="BD19" s="621"/>
      <c r="BE19" s="621"/>
      <c r="BF19" s="621"/>
      <c r="BG19" s="621"/>
      <c r="BH19" s="621"/>
      <c r="BI19" s="621"/>
      <c r="BJ19" s="621"/>
      <c r="BK19" s="621"/>
      <c r="BL19" s="621"/>
      <c r="BM19" s="621"/>
      <c r="BN19" s="621"/>
      <c r="BO19" s="621"/>
      <c r="BP19" s="621"/>
      <c r="BQ19" s="621"/>
      <c r="BR19" s="621"/>
      <c r="BS19" s="621"/>
      <c r="BT19" s="621"/>
      <c r="BU19" s="621"/>
      <c r="BV19" s="621"/>
      <c r="BW19" s="621"/>
      <c r="BX19" s="621"/>
      <c r="BY19" s="621"/>
      <c r="BZ19" s="621"/>
      <c r="CA19" s="621"/>
      <c r="CB19" s="621"/>
      <c r="CC19" s="621"/>
      <c r="CD19" s="621"/>
      <c r="CE19" s="621"/>
      <c r="CF19" s="621"/>
      <c r="CG19" s="621"/>
      <c r="CH19" s="621"/>
      <c r="CI19" s="621"/>
      <c r="CJ19" s="621"/>
      <c r="CK19" s="621"/>
      <c r="CL19" s="621"/>
      <c r="CM19" s="621"/>
      <c r="CN19" s="621"/>
      <c r="CO19" s="621"/>
      <c r="CP19" s="621"/>
      <c r="CQ19" s="621"/>
      <c r="CR19" s="621"/>
      <c r="CS19" s="621"/>
      <c r="CT19" s="621"/>
      <c r="CU19" s="621"/>
      <c r="CV19" s="621"/>
      <c r="CW19" s="621"/>
      <c r="CX19" s="621"/>
      <c r="CY19" s="621"/>
      <c r="CZ19" s="621"/>
      <c r="DA19" s="621"/>
      <c r="DB19" s="621"/>
      <c r="DC19" s="621"/>
      <c r="DD19" s="621"/>
      <c r="DE19" s="621"/>
      <c r="DF19" s="621"/>
      <c r="DG19" s="621"/>
      <c r="DH19" s="621"/>
      <c r="DI19" s="621"/>
      <c r="DJ19" s="621"/>
      <c r="DK19" s="621"/>
      <c r="DL19" s="621"/>
      <c r="DM19" s="621"/>
      <c r="DN19" s="621"/>
      <c r="DO19" s="621"/>
      <c r="DP19" s="621"/>
      <c r="DQ19" s="621"/>
      <c r="DR19" s="621"/>
      <c r="DS19" s="621"/>
      <c r="DT19" s="621"/>
      <c r="DU19" s="621"/>
      <c r="DV19" s="621"/>
      <c r="DW19" s="621"/>
      <c r="DX19" s="621"/>
      <c r="DY19" s="621"/>
      <c r="DZ19" s="621"/>
      <c r="EA19" s="621"/>
      <c r="EB19" s="621"/>
      <c r="EC19" s="621"/>
      <c r="ED19" s="621"/>
      <c r="EE19" s="621"/>
      <c r="EF19" s="621"/>
      <c r="EG19" s="621"/>
      <c r="EH19" s="621"/>
      <c r="EI19" s="621"/>
      <c r="EJ19" s="621"/>
      <c r="EK19" s="621"/>
      <c r="EL19" s="621"/>
      <c r="EM19" s="621"/>
      <c r="EN19" s="621"/>
      <c r="EO19" s="621"/>
      <c r="EP19" s="621"/>
      <c r="EQ19" s="621"/>
      <c r="ER19" s="621"/>
      <c r="ES19" s="621"/>
      <c r="ET19" s="621"/>
      <c r="EU19" s="621"/>
      <c r="EV19" s="621"/>
      <c r="EW19" s="621"/>
      <c r="EX19" s="621"/>
      <c r="EY19" s="621"/>
      <c r="EZ19" s="621"/>
      <c r="FA19" s="621"/>
      <c r="FB19" s="621"/>
      <c r="FC19" s="621"/>
      <c r="FD19" s="621"/>
      <c r="FE19" s="621"/>
      <c r="FF19" s="621"/>
      <c r="FG19" s="621"/>
      <c r="FH19" s="621"/>
      <c r="FI19" s="621"/>
      <c r="FJ19" s="621"/>
      <c r="FK19" s="621"/>
      <c r="FL19" s="621"/>
      <c r="FM19" s="621"/>
      <c r="FN19" s="621"/>
      <c r="FO19" s="621"/>
      <c r="FP19" s="621"/>
      <c r="FQ19" s="621"/>
      <c r="FR19" s="621"/>
      <c r="FS19" s="621"/>
      <c r="FT19" s="621"/>
      <c r="FU19" s="621"/>
      <c r="FV19" s="621"/>
      <c r="FW19" s="621"/>
      <c r="FX19" s="621"/>
      <c r="FY19" s="621"/>
      <c r="FZ19" s="621"/>
      <c r="GA19" s="621"/>
      <c r="GB19" s="621"/>
      <c r="GC19" s="621"/>
      <c r="GD19" s="621"/>
      <c r="GE19" s="621"/>
      <c r="GF19" s="621"/>
      <c r="GG19" s="621"/>
      <c r="GH19" s="621"/>
      <c r="GI19" s="621"/>
      <c r="GJ19" s="621"/>
      <c r="GK19" s="621"/>
      <c r="GL19" s="621"/>
      <c r="GM19" s="621"/>
      <c r="GN19" s="621"/>
      <c r="GO19" s="621"/>
      <c r="GP19" s="621"/>
      <c r="GQ19" s="621"/>
      <c r="GR19" s="621"/>
      <c r="GS19" s="621"/>
      <c r="GT19" s="621"/>
      <c r="GU19" s="621"/>
      <c r="GV19" s="621"/>
      <c r="GW19" s="621"/>
      <c r="GX19" s="621"/>
      <c r="GY19" s="621"/>
      <c r="GZ19" s="621"/>
      <c r="HA19" s="621"/>
      <c r="HB19" s="621"/>
      <c r="HC19" s="621"/>
      <c r="HD19" s="621"/>
      <c r="HE19" s="621"/>
      <c r="HF19" s="621"/>
      <c r="HG19" s="621"/>
      <c r="HH19" s="621"/>
      <c r="HI19" s="621"/>
      <c r="HJ19" s="621"/>
      <c r="HK19" s="621"/>
      <c r="HL19" s="621"/>
      <c r="HM19" s="621"/>
      <c r="HN19" s="621"/>
      <c r="HO19" s="621"/>
      <c r="HP19" s="621"/>
      <c r="HQ19" s="621"/>
      <c r="HR19" s="621"/>
      <c r="HS19" s="621"/>
      <c r="HT19" s="621"/>
      <c r="HU19" s="621"/>
      <c r="HV19" s="621"/>
      <c r="HW19" s="621"/>
      <c r="HX19" s="621"/>
      <c r="HY19" s="621"/>
      <c r="HZ19" s="621"/>
      <c r="IA19" s="621"/>
      <c r="IB19" s="621"/>
      <c r="IC19" s="621"/>
      <c r="ID19" s="621"/>
      <c r="IE19" s="621"/>
      <c r="IF19" s="621"/>
      <c r="IG19" s="621"/>
      <c r="IH19" s="621"/>
      <c r="II19" s="621"/>
      <c r="IJ19" s="621"/>
      <c r="IK19" s="621"/>
      <c r="IL19" s="621"/>
      <c r="IM19" s="621"/>
      <c r="IN19" s="621"/>
      <c r="IO19" s="621"/>
      <c r="IP19" s="116"/>
      <c r="IQ19" s="116"/>
      <c r="IR19" s="116"/>
      <c r="IS19" s="116"/>
      <c r="IT19" s="116"/>
      <c r="IU19" s="116"/>
      <c r="IV19" s="116"/>
      <c r="IW19" s="116"/>
      <c r="IX19" s="116"/>
      <c r="IY19" s="116"/>
      <c r="IZ19" s="116"/>
      <c r="JA19" s="116"/>
      <c r="JB19" s="116"/>
      <c r="JC19" s="116"/>
      <c r="JD19" s="116"/>
      <c r="JE19" s="116"/>
      <c r="JF19" s="116"/>
      <c r="JG19" s="116"/>
      <c r="JH19" s="116"/>
      <c r="JI19" s="116"/>
      <c r="JJ19" s="116"/>
      <c r="JK19" s="116"/>
      <c r="JL19" s="116"/>
      <c r="JM19" s="116"/>
      <c r="JN19" s="116"/>
      <c r="JO19" s="116"/>
      <c r="JP19" s="116"/>
      <c r="JQ19" s="116"/>
      <c r="JR19" s="116"/>
      <c r="JS19" s="116"/>
      <c r="JT19" s="116"/>
      <c r="JU19" s="116"/>
      <c r="JV19" s="116"/>
      <c r="JW19" s="116"/>
      <c r="JX19" s="116"/>
      <c r="JY19" s="116"/>
      <c r="JZ19" s="116"/>
      <c r="KA19" s="116"/>
      <c r="KB19" s="116"/>
      <c r="KC19" s="116"/>
      <c r="KD19" s="116"/>
      <c r="KE19" s="116"/>
      <c r="KF19" s="116"/>
      <c r="KG19" s="116"/>
      <c r="KH19" s="116"/>
      <c r="KI19" s="116"/>
      <c r="KJ19" s="116"/>
      <c r="KK19" s="116"/>
      <c r="KL19" s="116"/>
      <c r="KM19" s="116"/>
      <c r="KN19" s="116"/>
      <c r="KO19" s="116"/>
      <c r="KP19" s="116"/>
      <c r="KQ19" s="116"/>
      <c r="KR19" s="116"/>
      <c r="KS19" s="116"/>
      <c r="KT19" s="116"/>
      <c r="KU19" s="116"/>
      <c r="KV19" s="116"/>
      <c r="KW19" s="116"/>
      <c r="KX19" s="116"/>
      <c r="KY19" s="116"/>
      <c r="KZ19" s="116"/>
      <c r="LA19" s="116"/>
      <c r="LB19" s="116"/>
      <c r="LC19" s="116"/>
      <c r="LD19" s="116"/>
      <c r="LE19" s="116"/>
      <c r="LF19" s="116"/>
      <c r="LG19" s="116"/>
      <c r="LH19" s="116"/>
      <c r="LI19" s="116"/>
      <c r="LJ19" s="116"/>
      <c r="LK19" s="116"/>
      <c r="LL19" s="116"/>
      <c r="LM19" s="116"/>
      <c r="LN19" s="116"/>
      <c r="LO19" s="116"/>
      <c r="LP19" s="116"/>
      <c r="LQ19" s="116"/>
      <c r="LR19" s="116"/>
      <c r="LS19" s="116"/>
      <c r="LT19" s="116"/>
      <c r="LU19" s="116"/>
      <c r="LV19" s="116"/>
      <c r="LW19" s="116"/>
      <c r="LX19" s="116"/>
      <c r="LY19" s="116"/>
      <c r="LZ19" s="116"/>
      <c r="MA19" s="116"/>
      <c r="MB19" s="116"/>
      <c r="MC19" s="116"/>
      <c r="MD19" s="116"/>
      <c r="ME19" s="116"/>
      <c r="MF19" s="116"/>
      <c r="MG19" s="116"/>
      <c r="MH19" s="116"/>
      <c r="MI19" s="116"/>
      <c r="MJ19" s="116"/>
      <c r="MK19" s="116"/>
      <c r="ML19" s="116"/>
      <c r="MM19" s="116"/>
      <c r="MN19" s="116"/>
      <c r="MO19" s="116"/>
      <c r="MP19" s="116"/>
      <c r="MQ19" s="116"/>
      <c r="MR19" s="116"/>
      <c r="MS19" s="116"/>
      <c r="MT19" s="116"/>
      <c r="MU19" s="116"/>
      <c r="MV19" s="116"/>
      <c r="MW19" s="116"/>
      <c r="MX19" s="116"/>
      <c r="MY19" s="116"/>
      <c r="MZ19" s="116"/>
      <c r="NA19" s="116"/>
      <c r="NB19" s="116"/>
      <c r="NC19" s="116"/>
      <c r="ND19" s="116"/>
      <c r="NE19" s="116"/>
      <c r="NF19" s="116"/>
      <c r="NG19" s="116"/>
      <c r="NH19" s="116"/>
      <c r="NI19" s="116"/>
      <c r="NJ19" s="116"/>
      <c r="NK19" s="116"/>
      <c r="NL19" s="116"/>
      <c r="NM19" s="116"/>
      <c r="NN19" s="116"/>
      <c r="NO19" s="116"/>
      <c r="NP19" s="116"/>
      <c r="NQ19" s="116"/>
      <c r="NR19" s="116"/>
      <c r="NS19" s="116"/>
      <c r="NT19" s="116"/>
      <c r="NU19" s="116"/>
      <c r="NV19" s="116"/>
      <c r="NW19" s="116"/>
      <c r="NX19" s="116"/>
      <c r="NY19" s="116"/>
      <c r="NZ19" s="116"/>
      <c r="OA19" s="116"/>
      <c r="OB19" s="116"/>
      <c r="OC19" s="116"/>
      <c r="OD19" s="116"/>
      <c r="OE19" s="116"/>
      <c r="OF19" s="116"/>
      <c r="OG19" s="116"/>
      <c r="OH19" s="116"/>
      <c r="OI19" s="116"/>
      <c r="OJ19" s="116"/>
      <c r="OK19" s="116"/>
      <c r="OL19" s="116"/>
      <c r="OM19" s="116"/>
      <c r="ON19" s="116"/>
      <c r="OO19" s="116"/>
      <c r="OP19" s="116"/>
      <c r="OQ19" s="116"/>
      <c r="OR19" s="116"/>
      <c r="OS19" s="116"/>
      <c r="OT19" s="116"/>
      <c r="OU19" s="116"/>
      <c r="OV19" s="116"/>
      <c r="OW19" s="116"/>
      <c r="OX19" s="116"/>
      <c r="OY19" s="116"/>
      <c r="OZ19" s="116"/>
      <c r="PA19" s="116"/>
      <c r="PB19" s="116"/>
      <c r="PC19" s="116"/>
      <c r="PD19" s="116"/>
      <c r="PE19" s="116"/>
      <c r="PF19" s="116"/>
      <c r="PG19" s="116"/>
      <c r="PH19" s="116"/>
      <c r="PI19" s="116"/>
      <c r="PJ19" s="116"/>
      <c r="PK19" s="116"/>
      <c r="PL19" s="116"/>
      <c r="PM19" s="116"/>
      <c r="PN19" s="116"/>
      <c r="PO19" s="116"/>
      <c r="PP19" s="116"/>
      <c r="PQ19" s="116"/>
      <c r="PR19" s="116"/>
      <c r="PS19" s="116"/>
      <c r="PT19" s="116"/>
      <c r="PU19" s="116"/>
      <c r="PV19" s="116"/>
      <c r="PW19" s="116"/>
      <c r="PX19" s="116"/>
      <c r="PY19" s="116"/>
      <c r="PZ19" s="116"/>
      <c r="QA19" s="116"/>
      <c r="QB19" s="116"/>
      <c r="QC19" s="116"/>
      <c r="QD19" s="116"/>
      <c r="QE19" s="116"/>
      <c r="QF19" s="116"/>
      <c r="QG19" s="116"/>
      <c r="QH19" s="116"/>
      <c r="QI19" s="116"/>
      <c r="QJ19" s="116"/>
      <c r="QK19" s="116"/>
      <c r="QL19" s="116"/>
      <c r="QM19" s="116"/>
      <c r="QN19" s="116"/>
      <c r="QO19" s="116"/>
      <c r="QP19" s="116"/>
      <c r="QQ19" s="116"/>
      <c r="QR19" s="116"/>
      <c r="QS19" s="116"/>
      <c r="QT19" s="116"/>
      <c r="QU19" s="116"/>
      <c r="QV19" s="116"/>
      <c r="QW19" s="116"/>
      <c r="QX19" s="116"/>
      <c r="QY19" s="116"/>
      <c r="QZ19" s="116"/>
      <c r="RA19" s="116"/>
      <c r="RB19" s="116"/>
      <c r="RC19" s="116"/>
      <c r="RD19" s="116"/>
      <c r="RE19" s="116"/>
      <c r="RF19" s="116"/>
      <c r="RG19" s="116"/>
      <c r="RH19" s="116"/>
      <c r="RI19" s="116"/>
      <c r="RJ19" s="116"/>
      <c r="RK19" s="116"/>
      <c r="RL19" s="116"/>
      <c r="RM19" s="116"/>
      <c r="RN19" s="116"/>
      <c r="RO19" s="116"/>
      <c r="RP19" s="116"/>
      <c r="RQ19" s="116"/>
      <c r="RR19" s="116"/>
      <c r="RS19" s="116"/>
      <c r="RT19" s="116"/>
      <c r="RU19" s="116"/>
      <c r="RV19" s="116"/>
      <c r="RW19" s="116"/>
      <c r="RX19" s="116"/>
      <c r="RY19" s="116"/>
      <c r="RZ19" s="116"/>
      <c r="SA19" s="116"/>
      <c r="SB19" s="116"/>
      <c r="SC19" s="116"/>
      <c r="SD19" s="116"/>
      <c r="SE19" s="116"/>
      <c r="SF19" s="116"/>
      <c r="SG19" s="116"/>
      <c r="SH19" s="116"/>
      <c r="SI19" s="116"/>
      <c r="SJ19" s="116"/>
      <c r="SK19" s="116"/>
      <c r="SL19" s="116"/>
      <c r="SM19" s="116"/>
      <c r="SN19" s="116"/>
      <c r="SO19" s="116"/>
      <c r="SP19" s="116"/>
      <c r="SQ19" s="116"/>
      <c r="SR19" s="116"/>
      <c r="SS19" s="116"/>
      <c r="ST19" s="116"/>
      <c r="SU19" s="116"/>
      <c r="SV19" s="116"/>
      <c r="SW19" s="116"/>
      <c r="SX19" s="116"/>
      <c r="SY19" s="116"/>
      <c r="SZ19" s="116"/>
      <c r="TA19" s="116"/>
      <c r="TB19" s="116"/>
      <c r="TC19" s="116"/>
      <c r="TD19" s="116"/>
      <c r="TE19" s="116"/>
      <c r="TF19" s="116"/>
      <c r="TG19" s="116"/>
      <c r="TH19" s="116"/>
      <c r="TI19" s="116"/>
      <c r="TJ19" s="116"/>
      <c r="TK19" s="116"/>
      <c r="TL19" s="116"/>
      <c r="TM19" s="116"/>
      <c r="TN19" s="116"/>
      <c r="TO19" s="116"/>
      <c r="TP19" s="116"/>
      <c r="TQ19" s="116"/>
      <c r="TR19" s="116"/>
      <c r="TS19" s="116"/>
      <c r="TT19" s="116"/>
      <c r="TU19" s="116"/>
      <c r="TV19" s="116"/>
      <c r="TW19" s="116"/>
      <c r="TX19" s="116"/>
      <c r="TY19" s="116"/>
      <c r="TZ19" s="116"/>
      <c r="UA19" s="116"/>
      <c r="UB19" s="116"/>
      <c r="UC19" s="116"/>
      <c r="UD19" s="116"/>
      <c r="UE19" s="116"/>
      <c r="UF19" s="116"/>
      <c r="UG19" s="116"/>
      <c r="UH19" s="116"/>
      <c r="UI19" s="116"/>
      <c r="UJ19" s="116"/>
      <c r="UK19" s="116"/>
      <c r="UL19" s="116"/>
      <c r="UM19" s="116"/>
      <c r="UN19" s="116"/>
      <c r="UO19" s="116"/>
      <c r="UP19" s="116"/>
      <c r="UQ19" s="116"/>
      <c r="UR19" s="116"/>
      <c r="US19" s="116"/>
      <c r="UT19" s="116"/>
      <c r="UU19" s="116"/>
      <c r="UV19" s="116"/>
      <c r="UW19" s="116"/>
      <c r="UX19" s="116"/>
      <c r="UY19" s="116"/>
      <c r="UZ19" s="116"/>
      <c r="VA19" s="116"/>
      <c r="VB19" s="116"/>
      <c r="VC19" s="116"/>
      <c r="VD19" s="116"/>
      <c r="VE19" s="116"/>
      <c r="VF19" s="116"/>
      <c r="VG19" s="116"/>
      <c r="VH19" s="116"/>
      <c r="VI19" s="116"/>
      <c r="VJ19" s="116"/>
      <c r="VK19" s="116"/>
      <c r="VL19" s="116"/>
      <c r="VM19" s="116"/>
      <c r="VN19" s="116"/>
      <c r="VO19" s="116"/>
      <c r="VP19" s="116"/>
      <c r="VQ19" s="116"/>
      <c r="VR19" s="116"/>
      <c r="VS19" s="116"/>
      <c r="VT19" s="116"/>
      <c r="VU19" s="116"/>
      <c r="VV19" s="116"/>
      <c r="VW19" s="116"/>
      <c r="VX19" s="116"/>
      <c r="VY19" s="116"/>
      <c r="VZ19" s="116"/>
      <c r="WA19" s="116"/>
      <c r="WB19" s="116"/>
      <c r="WC19" s="116"/>
      <c r="WD19" s="116"/>
      <c r="WE19" s="116"/>
      <c r="WF19" s="116"/>
      <c r="WG19" s="116"/>
      <c r="WH19" s="116"/>
      <c r="WI19" s="116"/>
      <c r="WJ19" s="116"/>
      <c r="WK19" s="116"/>
      <c r="WL19" s="116"/>
      <c r="WM19" s="116"/>
      <c r="WN19" s="116"/>
      <c r="WO19" s="116"/>
      <c r="WP19" s="116"/>
      <c r="WQ19" s="116"/>
      <c r="WR19" s="116"/>
      <c r="WS19" s="116"/>
      <c r="WT19" s="116"/>
      <c r="WU19" s="116"/>
      <c r="WV19" s="116"/>
      <c r="WW19" s="116"/>
      <c r="WX19" s="116"/>
      <c r="WY19" s="116"/>
      <c r="WZ19" s="116"/>
      <c r="XA19" s="116"/>
      <c r="XB19" s="116"/>
      <c r="XC19" s="116"/>
      <c r="XD19" s="116"/>
      <c r="XE19" s="116"/>
      <c r="XF19" s="116"/>
      <c r="XG19" s="116"/>
      <c r="XH19" s="116"/>
      <c r="XI19" s="116"/>
      <c r="XJ19" s="116"/>
      <c r="XK19" s="116"/>
      <c r="XL19" s="116"/>
      <c r="XM19" s="116"/>
      <c r="XN19" s="116"/>
      <c r="XO19" s="116"/>
      <c r="XP19" s="116"/>
      <c r="XQ19" s="116"/>
      <c r="XR19" s="116"/>
      <c r="XS19" s="116"/>
      <c r="XT19" s="116"/>
      <c r="XU19" s="116"/>
      <c r="XV19" s="116"/>
      <c r="XW19" s="116"/>
      <c r="XX19" s="116"/>
      <c r="XY19" s="116"/>
      <c r="XZ19" s="116"/>
      <c r="YA19" s="116"/>
      <c r="YB19" s="116"/>
      <c r="YC19" s="116"/>
      <c r="YD19" s="116"/>
      <c r="YE19" s="116"/>
      <c r="YF19" s="116"/>
      <c r="YG19" s="116"/>
      <c r="YH19" s="116"/>
      <c r="YI19" s="116"/>
      <c r="YJ19" s="116"/>
      <c r="YK19" s="116"/>
      <c r="YL19" s="116"/>
      <c r="YM19" s="116"/>
      <c r="YN19" s="116"/>
      <c r="YO19" s="116"/>
      <c r="YP19" s="116"/>
      <c r="YQ19" s="116"/>
      <c r="YR19" s="116"/>
      <c r="YS19" s="116"/>
      <c r="YT19" s="116"/>
      <c r="YU19" s="116"/>
      <c r="YV19" s="116"/>
      <c r="YW19" s="116"/>
      <c r="YX19" s="116"/>
      <c r="YY19" s="116"/>
      <c r="YZ19" s="116"/>
      <c r="ZA19" s="116"/>
      <c r="ZB19" s="116"/>
      <c r="ZC19" s="116"/>
      <c r="ZD19" s="116"/>
      <c r="ZE19" s="116"/>
      <c r="ZF19" s="116"/>
      <c r="ZG19" s="116"/>
      <c r="ZH19" s="116"/>
      <c r="ZI19" s="116"/>
      <c r="ZJ19" s="116"/>
      <c r="ZK19" s="116"/>
      <c r="ZL19" s="116"/>
      <c r="ZM19" s="116"/>
      <c r="ZN19" s="116"/>
      <c r="ZO19" s="116"/>
      <c r="ZP19" s="116"/>
      <c r="ZQ19" s="116"/>
      <c r="ZR19" s="116"/>
      <c r="ZS19" s="116"/>
      <c r="ZT19" s="116"/>
      <c r="ZU19" s="116"/>
      <c r="ZV19" s="116"/>
      <c r="ZW19" s="116"/>
      <c r="ZX19" s="116"/>
      <c r="ZY19" s="116"/>
      <c r="ZZ19" s="116"/>
      <c r="AAA19" s="116"/>
      <c r="AAB19" s="116"/>
      <c r="AAC19" s="116"/>
      <c r="AAD19" s="116"/>
      <c r="AAE19" s="116"/>
      <c r="AAF19" s="116"/>
      <c r="AAG19" s="116"/>
      <c r="AAH19" s="116"/>
      <c r="AAI19" s="116"/>
      <c r="AAJ19" s="116"/>
      <c r="AAK19" s="116"/>
      <c r="AAL19" s="116"/>
      <c r="AAM19" s="116"/>
      <c r="AAN19" s="116"/>
      <c r="AAO19" s="116"/>
      <c r="AAP19" s="116"/>
      <c r="AAQ19" s="116"/>
      <c r="AAR19" s="116"/>
      <c r="AAS19" s="116"/>
      <c r="AAT19" s="116"/>
      <c r="AAU19" s="116"/>
      <c r="AAV19" s="116"/>
      <c r="AAW19" s="116"/>
      <c r="AAX19" s="116"/>
      <c r="AAY19" s="116"/>
      <c r="AAZ19" s="116"/>
      <c r="ABA19" s="116"/>
      <c r="ABB19" s="116"/>
      <c r="ABC19" s="116"/>
      <c r="ABD19" s="116"/>
      <c r="ABE19" s="116"/>
      <c r="ABF19" s="116"/>
      <c r="ABG19" s="116"/>
      <c r="ABH19" s="116"/>
      <c r="ABI19" s="116"/>
      <c r="ABJ19" s="116"/>
      <c r="ABK19" s="116"/>
      <c r="ABL19" s="116"/>
      <c r="ABM19" s="116"/>
      <c r="ABN19" s="116"/>
      <c r="ABO19" s="116"/>
      <c r="ABP19" s="116"/>
      <c r="ABQ19" s="116"/>
      <c r="ABR19" s="116"/>
      <c r="ABS19" s="116"/>
      <c r="ABT19" s="116"/>
      <c r="ABU19" s="116"/>
      <c r="ABV19" s="116"/>
      <c r="ABW19" s="116"/>
      <c r="ABX19" s="116"/>
      <c r="ABY19" s="116"/>
      <c r="ABZ19" s="116"/>
      <c r="ACA19" s="116"/>
      <c r="ACB19" s="116"/>
      <c r="ACC19" s="116"/>
      <c r="ACD19" s="116"/>
      <c r="ACE19" s="116"/>
      <c r="ACF19" s="116"/>
      <c r="ACG19" s="116"/>
      <c r="ACH19" s="116"/>
      <c r="ACI19" s="116"/>
      <c r="ACJ19" s="116"/>
      <c r="ACK19" s="116"/>
      <c r="ACL19" s="116"/>
      <c r="ACM19" s="116"/>
      <c r="ACN19" s="116"/>
      <c r="ACO19" s="116"/>
      <c r="ACP19" s="116"/>
      <c r="ACQ19" s="116"/>
      <c r="ACR19" s="116"/>
      <c r="ACS19" s="116"/>
      <c r="ACT19" s="116"/>
      <c r="ACU19" s="116"/>
      <c r="ACV19" s="116"/>
      <c r="ACW19" s="116"/>
      <c r="ACX19" s="116"/>
      <c r="ACY19" s="116"/>
      <c r="ACZ19" s="116"/>
      <c r="ADA19" s="116"/>
      <c r="ADB19" s="116"/>
      <c r="ADC19" s="116"/>
      <c r="ADD19" s="116"/>
      <c r="ADE19" s="116"/>
      <c r="ADF19" s="116"/>
      <c r="ADG19" s="116"/>
      <c r="ADH19" s="116"/>
      <c r="ADI19" s="116"/>
      <c r="ADJ19" s="116"/>
      <c r="ADK19" s="116"/>
      <c r="ADL19" s="116"/>
      <c r="ADM19" s="116"/>
      <c r="ADN19" s="116"/>
      <c r="ADO19" s="116"/>
      <c r="ADP19" s="116"/>
      <c r="ADQ19" s="116"/>
      <c r="ADR19" s="116"/>
      <c r="ADS19" s="116"/>
      <c r="ADT19" s="116"/>
      <c r="ADU19" s="116"/>
      <c r="ADV19" s="116"/>
      <c r="ADW19" s="116"/>
      <c r="ADX19" s="116"/>
      <c r="ADY19" s="116"/>
      <c r="ADZ19" s="116"/>
      <c r="AEA19" s="116"/>
      <c r="AEB19" s="116"/>
      <c r="AEC19" s="116"/>
      <c r="AED19" s="116"/>
      <c r="AEE19" s="116"/>
      <c r="AEF19" s="116"/>
      <c r="AEG19" s="116"/>
      <c r="AEH19" s="116"/>
      <c r="AEI19" s="116"/>
      <c r="AEJ19" s="116"/>
      <c r="AEK19" s="116"/>
      <c r="AEL19" s="116"/>
      <c r="AEM19" s="116"/>
      <c r="AEN19" s="116"/>
      <c r="AEO19" s="116"/>
      <c r="AEP19" s="116"/>
      <c r="AEQ19" s="116"/>
      <c r="AER19" s="116"/>
      <c r="AES19" s="116"/>
      <c r="AET19" s="116"/>
      <c r="AEU19" s="116"/>
      <c r="AEV19" s="116"/>
      <c r="AEW19" s="116"/>
      <c r="AEX19" s="116"/>
      <c r="AEY19" s="116"/>
      <c r="AEZ19" s="116"/>
      <c r="AFA19" s="116"/>
      <c r="AFB19" s="116"/>
      <c r="AFC19" s="116"/>
      <c r="AFD19" s="116"/>
      <c r="AFE19" s="116"/>
      <c r="AFF19" s="116"/>
      <c r="AFG19" s="116"/>
      <c r="AFH19" s="116"/>
      <c r="AFI19" s="116"/>
      <c r="AFJ19" s="116"/>
      <c r="AFK19" s="116"/>
      <c r="AFL19" s="116"/>
      <c r="AFM19" s="116"/>
      <c r="AFN19" s="116"/>
      <c r="AFO19" s="116"/>
      <c r="AFP19" s="116"/>
      <c r="AFQ19" s="116"/>
      <c r="AFR19" s="116"/>
      <c r="AFS19" s="116"/>
      <c r="AFT19" s="116"/>
      <c r="AFU19" s="116"/>
      <c r="AFV19" s="116"/>
      <c r="AFW19" s="116"/>
      <c r="AFX19" s="116"/>
      <c r="AFY19" s="116"/>
      <c r="AFZ19" s="116"/>
      <c r="AGA19" s="116"/>
      <c r="AGB19" s="116"/>
      <c r="AGC19" s="116"/>
      <c r="AGD19" s="116"/>
      <c r="AGE19" s="116"/>
      <c r="AGF19" s="116"/>
      <c r="AGG19" s="116"/>
      <c r="AGH19" s="116"/>
      <c r="AGI19" s="116"/>
      <c r="AGJ19" s="116"/>
      <c r="AGK19" s="116"/>
      <c r="AGL19" s="116"/>
      <c r="AGM19" s="116"/>
      <c r="AGN19" s="116"/>
      <c r="AGO19" s="116"/>
      <c r="AGP19" s="116"/>
      <c r="AGQ19" s="116"/>
      <c r="AGR19" s="116"/>
      <c r="AGS19" s="116"/>
      <c r="AGT19" s="116"/>
      <c r="AGU19" s="116"/>
      <c r="AGV19" s="116"/>
      <c r="AGW19" s="116"/>
      <c r="AGX19" s="116"/>
      <c r="AGY19" s="116"/>
      <c r="AGZ19" s="116"/>
      <c r="AHA19" s="116"/>
      <c r="AHB19" s="116"/>
      <c r="AHC19" s="116"/>
      <c r="AHD19" s="116"/>
      <c r="AHE19" s="116"/>
      <c r="AHF19" s="116"/>
      <c r="AHG19" s="116"/>
      <c r="AHH19" s="116"/>
      <c r="AHI19" s="116"/>
      <c r="AHJ19" s="116"/>
      <c r="AHK19" s="116"/>
      <c r="AHL19" s="116"/>
      <c r="AHM19" s="116"/>
      <c r="AHN19" s="116"/>
      <c r="AHO19" s="116"/>
      <c r="AHP19" s="116"/>
      <c r="AHQ19" s="116"/>
      <c r="AHR19" s="116"/>
      <c r="AHS19" s="116"/>
      <c r="AHT19" s="116"/>
      <c r="AHU19" s="116"/>
      <c r="AHV19" s="116"/>
      <c r="AHW19" s="116"/>
      <c r="AHX19" s="116"/>
      <c r="AHY19" s="116"/>
      <c r="AHZ19" s="116"/>
      <c r="AIA19" s="116"/>
      <c r="AIB19" s="116"/>
      <c r="AIC19" s="116"/>
      <c r="AID19" s="116"/>
      <c r="AIE19" s="116"/>
      <c r="AIF19" s="116"/>
      <c r="AIG19" s="116"/>
      <c r="AIH19" s="116"/>
      <c r="AII19" s="116"/>
      <c r="AIJ19" s="116"/>
      <c r="AIK19" s="116"/>
      <c r="AIL19" s="116"/>
      <c r="AIM19" s="116"/>
      <c r="AIN19" s="116"/>
      <c r="AIO19" s="116"/>
      <c r="AIP19" s="116"/>
      <c r="AIQ19" s="116"/>
      <c r="AIR19" s="116"/>
      <c r="AIS19" s="116"/>
      <c r="AIT19" s="116"/>
      <c r="AIU19" s="116"/>
      <c r="AIV19" s="116"/>
      <c r="AIW19" s="116"/>
      <c r="AIX19" s="116"/>
      <c r="AIY19" s="116"/>
      <c r="AIZ19" s="116"/>
      <c r="AJA19" s="116"/>
      <c r="AJB19" s="116"/>
      <c r="AJC19" s="116"/>
      <c r="AJD19" s="116"/>
      <c r="AJE19" s="116"/>
      <c r="AJF19" s="116"/>
      <c r="AJG19" s="116"/>
      <c r="AJH19" s="116"/>
      <c r="AJI19" s="116"/>
      <c r="AJJ19" s="116"/>
      <c r="AJK19" s="116"/>
      <c r="AJL19" s="116"/>
      <c r="AJM19" s="116"/>
      <c r="AJN19" s="116"/>
      <c r="AJO19" s="116"/>
      <c r="AJP19" s="116"/>
      <c r="AJQ19" s="116"/>
      <c r="AJR19" s="116"/>
      <c r="AJS19" s="116"/>
      <c r="AJT19" s="116"/>
      <c r="AJU19" s="116"/>
      <c r="AJV19" s="116"/>
      <c r="AJW19" s="116"/>
      <c r="AJX19" s="116"/>
      <c r="AJY19" s="116"/>
      <c r="AJZ19" s="116"/>
      <c r="AKA19" s="116"/>
      <c r="AKB19" s="116"/>
      <c r="AKC19" s="116"/>
      <c r="AKD19" s="116"/>
      <c r="AKE19" s="116"/>
      <c r="AKF19" s="116"/>
      <c r="AKG19" s="116"/>
      <c r="AKH19" s="116"/>
      <c r="AKI19" s="116"/>
      <c r="AKJ19" s="116"/>
      <c r="AKK19" s="116"/>
      <c r="AKL19" s="116"/>
      <c r="AKM19" s="116"/>
      <c r="AKN19" s="116"/>
      <c r="AKO19" s="116"/>
      <c r="AKP19" s="116"/>
      <c r="AKQ19" s="116"/>
      <c r="AKR19" s="116"/>
      <c r="AKS19" s="116"/>
      <c r="AKT19" s="116"/>
      <c r="AKU19" s="116"/>
      <c r="AKV19" s="116"/>
      <c r="AKW19" s="116"/>
      <c r="AKX19" s="116"/>
      <c r="AKY19" s="116"/>
      <c r="AKZ19" s="116"/>
      <c r="ALA19" s="116"/>
      <c r="ALB19" s="116"/>
      <c r="ALC19" s="116"/>
      <c r="ALD19" s="116"/>
      <c r="ALE19" s="116"/>
      <c r="ALF19" s="116"/>
      <c r="ALG19" s="116"/>
      <c r="ALH19" s="116"/>
      <c r="ALI19" s="116"/>
      <c r="ALJ19" s="116"/>
      <c r="ALK19" s="116"/>
      <c r="ALL19" s="116"/>
      <c r="ALM19" s="116"/>
      <c r="ALN19" s="116"/>
      <c r="ALO19" s="116"/>
      <c r="ALP19" s="116"/>
      <c r="ALQ19" s="116"/>
      <c r="ALR19" s="116"/>
      <c r="ALS19" s="116"/>
      <c r="ALT19" s="116"/>
      <c r="ALU19" s="116"/>
      <c r="ALV19" s="116"/>
      <c r="ALW19" s="116"/>
      <c r="ALX19" s="116"/>
      <c r="ALY19" s="116"/>
      <c r="ALZ19" s="116"/>
      <c r="AMA19" s="116"/>
      <c r="AMB19" s="116"/>
      <c r="AMC19" s="116"/>
    </row>
    <row r="20" spans="1:1017" ht="18.75" customHeight="1" x14ac:dyDescent="0.35">
      <c r="A20" s="567"/>
      <c r="B20" s="567"/>
      <c r="C20" s="567"/>
      <c r="D20" s="567"/>
      <c r="E20" s="567"/>
      <c r="F20" s="567"/>
      <c r="G20" s="567"/>
      <c r="H20" s="567"/>
      <c r="I20" s="567"/>
    </row>
    <row r="21" spans="1:1017" ht="19.5" customHeight="1" x14ac:dyDescent="0.3">
      <c r="A21" s="577" t="s">
        <v>214</v>
      </c>
      <c r="B21" s="577"/>
      <c r="C21" s="577"/>
      <c r="D21" s="577"/>
      <c r="E21" s="577"/>
      <c r="F21" s="577"/>
      <c r="G21" s="577"/>
      <c r="H21" s="577"/>
      <c r="I21" s="577"/>
    </row>
    <row r="22" spans="1:1017" ht="19.5" customHeight="1" x14ac:dyDescent="0.3">
      <c r="A22" s="67">
        <v>3</v>
      </c>
      <c r="B22" s="568" t="s">
        <v>50</v>
      </c>
      <c r="C22" s="568"/>
      <c r="D22" s="568"/>
      <c r="E22" s="568"/>
      <c r="F22" s="568"/>
      <c r="G22" s="568"/>
      <c r="H22" s="622">
        <v>1121.2</v>
      </c>
      <c r="I22" s="622"/>
    </row>
    <row r="23" spans="1:1017" ht="19.5" customHeight="1" x14ac:dyDescent="0.3">
      <c r="A23" s="67">
        <v>4</v>
      </c>
      <c r="B23" s="568" t="s">
        <v>51</v>
      </c>
      <c r="C23" s="568"/>
      <c r="D23" s="568"/>
      <c r="E23" s="568"/>
      <c r="F23" s="568"/>
      <c r="G23" s="568"/>
      <c r="H23" s="623" t="s">
        <v>299</v>
      </c>
      <c r="I23" s="623"/>
    </row>
    <row r="24" spans="1:1017" ht="19.5" customHeight="1" x14ac:dyDescent="0.3">
      <c r="A24" s="67">
        <v>5</v>
      </c>
      <c r="B24" s="568" t="s">
        <v>52</v>
      </c>
      <c r="C24" s="568"/>
      <c r="D24" s="568"/>
      <c r="E24" s="568"/>
      <c r="F24" s="568"/>
      <c r="G24" s="568"/>
      <c r="H24" s="623">
        <v>43831</v>
      </c>
      <c r="I24" s="623"/>
    </row>
    <row r="25" spans="1:1017" ht="30.75" customHeight="1" x14ac:dyDescent="0.3">
      <c r="A25" s="76">
        <v>6</v>
      </c>
      <c r="B25" s="568" t="s">
        <v>304</v>
      </c>
      <c r="C25" s="568"/>
      <c r="D25" s="568"/>
      <c r="E25" s="568"/>
      <c r="F25" s="568"/>
      <c r="G25" s="568"/>
      <c r="H25" s="591">
        <f>ROUND((H22/220),2)</f>
        <v>5.0999999999999996</v>
      </c>
      <c r="I25" s="591"/>
    </row>
    <row r="26" spans="1:1017" ht="30.75" customHeight="1" x14ac:dyDescent="0.3">
      <c r="A26" s="76">
        <v>7</v>
      </c>
      <c r="B26" s="568" t="s">
        <v>305</v>
      </c>
      <c r="C26" s="568"/>
      <c r="D26" s="568"/>
      <c r="E26" s="568"/>
      <c r="F26" s="568"/>
      <c r="G26" s="568"/>
      <c r="H26" s="619">
        <f>ROUND(H25*1.75,2)</f>
        <v>8.93</v>
      </c>
      <c r="I26" s="619"/>
    </row>
    <row r="27" spans="1:1017" ht="19.5" customHeight="1" x14ac:dyDescent="0.3">
      <c r="A27" s="76">
        <v>10</v>
      </c>
      <c r="B27" s="573" t="s">
        <v>306</v>
      </c>
      <c r="C27" s="573"/>
      <c r="D27" s="573"/>
      <c r="E27" s="573"/>
      <c r="F27" s="573"/>
      <c r="G27" s="573"/>
      <c r="H27" s="620">
        <v>2</v>
      </c>
      <c r="I27" s="620"/>
    </row>
    <row r="28" spans="1:1017" ht="18.75" customHeight="1" x14ac:dyDescent="0.35">
      <c r="A28" s="604"/>
      <c r="B28" s="604"/>
      <c r="C28" s="604"/>
      <c r="D28" s="604"/>
      <c r="E28" s="604"/>
      <c r="F28" s="604"/>
      <c r="G28" s="604"/>
      <c r="H28" s="604"/>
      <c r="I28" s="604"/>
    </row>
    <row r="29" spans="1:1017" ht="19.5" customHeight="1" x14ac:dyDescent="0.3">
      <c r="A29" s="577" t="s">
        <v>307</v>
      </c>
      <c r="B29" s="577"/>
      <c r="C29" s="577"/>
      <c r="D29" s="577"/>
      <c r="E29" s="577"/>
      <c r="F29" s="577"/>
      <c r="G29" s="577"/>
      <c r="H29" s="577"/>
      <c r="I29" s="577"/>
    </row>
    <row r="30" spans="1:1017" ht="19.5" customHeight="1" x14ac:dyDescent="0.3">
      <c r="A30" s="117">
        <v>1</v>
      </c>
      <c r="B30" s="586" t="s">
        <v>308</v>
      </c>
      <c r="C30" s="586"/>
      <c r="D30" s="586"/>
      <c r="E30" s="586"/>
      <c r="F30" s="586"/>
      <c r="G30" s="586"/>
      <c r="H30" s="117" t="s">
        <v>221</v>
      </c>
      <c r="I30" s="117" t="s">
        <v>85</v>
      </c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15"/>
      <c r="BR30" s="115"/>
      <c r="BS30" s="115"/>
      <c r="BT30" s="115"/>
      <c r="BU30" s="115"/>
      <c r="BV30" s="115"/>
      <c r="BW30" s="115"/>
      <c r="BX30" s="115"/>
      <c r="BY30" s="115"/>
      <c r="BZ30" s="115"/>
      <c r="CA30" s="115"/>
      <c r="CB30" s="115"/>
      <c r="CC30" s="115"/>
      <c r="CD30" s="115"/>
      <c r="CE30" s="115"/>
      <c r="CF30" s="115"/>
      <c r="CG30" s="115"/>
      <c r="CH30" s="115"/>
      <c r="CI30" s="115"/>
      <c r="CJ30" s="115"/>
      <c r="CK30" s="115"/>
      <c r="CL30" s="115"/>
      <c r="CM30" s="115"/>
      <c r="CN30" s="115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5"/>
      <c r="EL30" s="115"/>
      <c r="EM30" s="115"/>
      <c r="EN30" s="115"/>
      <c r="EO30" s="115"/>
      <c r="EP30" s="115"/>
      <c r="EQ30" s="115"/>
      <c r="ER30" s="115"/>
      <c r="ES30" s="115"/>
      <c r="ET30" s="115"/>
      <c r="EU30" s="115"/>
      <c r="EV30" s="115"/>
      <c r="EW30" s="115"/>
      <c r="EX30" s="115"/>
      <c r="EY30" s="115"/>
      <c r="EZ30" s="115"/>
      <c r="FA30" s="115"/>
      <c r="FB30" s="115"/>
      <c r="FC30" s="115"/>
      <c r="FD30" s="115"/>
      <c r="FE30" s="115"/>
      <c r="FF30" s="115"/>
      <c r="FG30" s="115"/>
      <c r="FH30" s="115"/>
      <c r="FI30" s="115"/>
      <c r="FJ30" s="115"/>
      <c r="FK30" s="115"/>
      <c r="FL30" s="115"/>
      <c r="FM30" s="115"/>
      <c r="FN30" s="115"/>
      <c r="FO30" s="115"/>
      <c r="FP30" s="115"/>
      <c r="FQ30" s="115"/>
      <c r="FR30" s="115"/>
      <c r="FS30" s="115"/>
      <c r="FT30" s="115"/>
      <c r="FU30" s="115"/>
      <c r="FV30" s="115"/>
      <c r="FW30" s="115"/>
      <c r="FX30" s="115"/>
      <c r="FY30" s="115"/>
      <c r="FZ30" s="115"/>
      <c r="GA30" s="115"/>
      <c r="GB30" s="115"/>
      <c r="GC30" s="115"/>
      <c r="GD30" s="115"/>
      <c r="GE30" s="115"/>
      <c r="GF30" s="115"/>
      <c r="GG30" s="115"/>
      <c r="GH30" s="115"/>
      <c r="GI30" s="115"/>
      <c r="GJ30" s="115"/>
      <c r="GK30" s="115"/>
      <c r="GL30" s="115"/>
      <c r="GM30" s="115"/>
      <c r="GN30" s="115"/>
      <c r="GO30" s="115"/>
      <c r="GP30" s="115"/>
      <c r="GQ30" s="115"/>
      <c r="GR30" s="115"/>
      <c r="GS30" s="115"/>
      <c r="GT30" s="115"/>
      <c r="GU30" s="115"/>
      <c r="GV30" s="115"/>
      <c r="GW30" s="115"/>
      <c r="GX30" s="115"/>
      <c r="GY30" s="115"/>
      <c r="GZ30" s="115"/>
      <c r="HA30" s="115"/>
      <c r="HB30" s="115"/>
      <c r="HC30" s="115"/>
      <c r="HD30" s="115"/>
      <c r="HE30" s="115"/>
      <c r="HF30" s="115"/>
      <c r="HG30" s="115"/>
      <c r="HH30" s="115"/>
      <c r="HI30" s="115"/>
      <c r="HJ30" s="115"/>
      <c r="HK30" s="115"/>
      <c r="HL30" s="115"/>
      <c r="HM30" s="115"/>
      <c r="HN30" s="115"/>
      <c r="HO30" s="115"/>
      <c r="HP30" s="115"/>
      <c r="HQ30" s="115"/>
      <c r="HR30" s="115"/>
      <c r="HS30" s="115"/>
      <c r="HT30" s="115"/>
      <c r="HU30" s="115"/>
      <c r="HV30" s="115"/>
      <c r="HW30" s="115"/>
      <c r="HX30" s="115"/>
      <c r="HY30" s="115"/>
      <c r="HZ30" s="115"/>
      <c r="IA30" s="115"/>
      <c r="IB30" s="115"/>
      <c r="IC30" s="115"/>
      <c r="ID30" s="115"/>
      <c r="IE30" s="115"/>
      <c r="IF30" s="115"/>
      <c r="IG30" s="115"/>
      <c r="IH30" s="115"/>
      <c r="II30" s="115"/>
      <c r="IJ30" s="115"/>
      <c r="IK30" s="115"/>
      <c r="IL30" s="115"/>
      <c r="IM30" s="115"/>
      <c r="IN30" s="115"/>
      <c r="IO30" s="115"/>
      <c r="IP30" s="115"/>
      <c r="IQ30" s="115"/>
      <c r="IR30" s="115"/>
      <c r="IS30" s="115"/>
      <c r="IT30" s="115"/>
      <c r="IU30" s="115"/>
      <c r="IV30" s="115"/>
      <c r="IW30" s="115"/>
      <c r="IX30" s="115"/>
      <c r="IY30" s="115"/>
      <c r="IZ30" s="115"/>
      <c r="JA30" s="115"/>
      <c r="JB30" s="115"/>
      <c r="JC30" s="115"/>
      <c r="JD30" s="115"/>
      <c r="JE30" s="115"/>
      <c r="JF30" s="115"/>
      <c r="JG30" s="115"/>
      <c r="JH30" s="115"/>
      <c r="JI30" s="115"/>
      <c r="JJ30" s="115"/>
      <c r="JK30" s="115"/>
      <c r="JL30" s="115"/>
      <c r="JM30" s="115"/>
      <c r="JN30" s="115"/>
      <c r="JO30" s="115"/>
      <c r="JP30" s="115"/>
      <c r="JQ30" s="115"/>
      <c r="JR30" s="115"/>
      <c r="JS30" s="115"/>
      <c r="JT30" s="115"/>
      <c r="JU30" s="115"/>
      <c r="JV30" s="115"/>
      <c r="JW30" s="115"/>
      <c r="JX30" s="115"/>
      <c r="JY30" s="115"/>
      <c r="JZ30" s="115"/>
      <c r="KA30" s="115"/>
      <c r="KB30" s="115"/>
      <c r="KC30" s="115"/>
      <c r="KD30" s="115"/>
      <c r="KE30" s="115"/>
      <c r="KF30" s="115"/>
      <c r="KG30" s="115"/>
      <c r="KH30" s="115"/>
      <c r="KI30" s="115"/>
      <c r="KJ30" s="115"/>
      <c r="KK30" s="115"/>
      <c r="KL30" s="115"/>
      <c r="KM30" s="115"/>
      <c r="KN30" s="115"/>
      <c r="KO30" s="115"/>
      <c r="KP30" s="115"/>
      <c r="KQ30" s="115"/>
      <c r="KR30" s="115"/>
      <c r="KS30" s="115"/>
      <c r="KT30" s="115"/>
      <c r="KU30" s="115"/>
      <c r="KV30" s="115"/>
      <c r="KW30" s="115"/>
      <c r="KX30" s="115"/>
      <c r="KY30" s="115"/>
      <c r="KZ30" s="115"/>
      <c r="LA30" s="115"/>
      <c r="LB30" s="115"/>
      <c r="LC30" s="115"/>
      <c r="LD30" s="115"/>
      <c r="LE30" s="115"/>
      <c r="LF30" s="115"/>
      <c r="LG30" s="115"/>
      <c r="LH30" s="115"/>
      <c r="LI30" s="115"/>
      <c r="LJ30" s="115"/>
      <c r="LK30" s="115"/>
      <c r="LL30" s="115"/>
      <c r="LM30" s="115"/>
      <c r="LN30" s="115"/>
      <c r="LO30" s="115"/>
      <c r="LP30" s="115"/>
      <c r="LQ30" s="115"/>
      <c r="LR30" s="115"/>
      <c r="LS30" s="115"/>
      <c r="LT30" s="115"/>
      <c r="LU30" s="115"/>
      <c r="LV30" s="115"/>
      <c r="LW30" s="115"/>
      <c r="LX30" s="115"/>
      <c r="LY30" s="115"/>
      <c r="LZ30" s="115"/>
      <c r="MA30" s="115"/>
      <c r="MB30" s="115"/>
      <c r="MC30" s="115"/>
      <c r="MD30" s="115"/>
      <c r="ME30" s="115"/>
      <c r="MF30" s="115"/>
      <c r="MG30" s="115"/>
      <c r="MH30" s="115"/>
      <c r="MI30" s="115"/>
      <c r="MJ30" s="115"/>
      <c r="MK30" s="115"/>
      <c r="ML30" s="115"/>
      <c r="MM30" s="115"/>
      <c r="MN30" s="115"/>
      <c r="MO30" s="115"/>
      <c r="MP30" s="115"/>
      <c r="MQ30" s="115"/>
      <c r="MR30" s="115"/>
      <c r="MS30" s="115"/>
      <c r="MT30" s="115"/>
      <c r="MU30" s="115"/>
      <c r="MV30" s="115"/>
      <c r="MW30" s="115"/>
      <c r="MX30" s="115"/>
      <c r="MY30" s="115"/>
      <c r="MZ30" s="115"/>
      <c r="NA30" s="115"/>
      <c r="NB30" s="115"/>
      <c r="NC30" s="115"/>
      <c r="ND30" s="115"/>
      <c r="NE30" s="115"/>
      <c r="NF30" s="115"/>
      <c r="NG30" s="115"/>
      <c r="NH30" s="115"/>
      <c r="NI30" s="115"/>
      <c r="NJ30" s="115"/>
      <c r="NK30" s="115"/>
      <c r="NL30" s="115"/>
      <c r="NM30" s="115"/>
      <c r="NN30" s="115"/>
      <c r="NO30" s="115"/>
      <c r="NP30" s="115"/>
      <c r="NQ30" s="115"/>
      <c r="NR30" s="115"/>
      <c r="NS30" s="115"/>
      <c r="NT30" s="115"/>
      <c r="NU30" s="115"/>
      <c r="NV30" s="115"/>
      <c r="NW30" s="115"/>
      <c r="NX30" s="115"/>
      <c r="NY30" s="115"/>
      <c r="NZ30" s="115"/>
      <c r="OA30" s="115"/>
      <c r="OB30" s="115"/>
      <c r="OC30" s="115"/>
      <c r="OD30" s="115"/>
      <c r="OE30" s="115"/>
      <c r="OF30" s="115"/>
      <c r="OG30" s="115"/>
      <c r="OH30" s="115"/>
      <c r="OI30" s="115"/>
      <c r="OJ30" s="115"/>
      <c r="OK30" s="115"/>
      <c r="OL30" s="115"/>
      <c r="OM30" s="115"/>
      <c r="ON30" s="115"/>
      <c r="OO30" s="115"/>
      <c r="OP30" s="115"/>
      <c r="OQ30" s="115"/>
      <c r="OR30" s="115"/>
      <c r="OS30" s="115"/>
      <c r="OT30" s="115"/>
      <c r="OU30" s="115"/>
      <c r="OV30" s="115"/>
      <c r="OW30" s="115"/>
      <c r="OX30" s="115"/>
      <c r="OY30" s="115"/>
      <c r="OZ30" s="115"/>
      <c r="PA30" s="115"/>
      <c r="PB30" s="115"/>
      <c r="PC30" s="115"/>
      <c r="PD30" s="115"/>
      <c r="PE30" s="115"/>
      <c r="PF30" s="115"/>
      <c r="PG30" s="115"/>
      <c r="PH30" s="115"/>
      <c r="PI30" s="115"/>
      <c r="PJ30" s="115"/>
      <c r="PK30" s="115"/>
      <c r="PL30" s="115"/>
      <c r="PM30" s="115"/>
      <c r="PN30" s="115"/>
      <c r="PO30" s="115"/>
      <c r="PP30" s="115"/>
      <c r="PQ30" s="115"/>
      <c r="PR30" s="115"/>
      <c r="PS30" s="115"/>
      <c r="PT30" s="115"/>
      <c r="PU30" s="115"/>
      <c r="PV30" s="115"/>
      <c r="PW30" s="115"/>
      <c r="PX30" s="115"/>
      <c r="PY30" s="115"/>
      <c r="PZ30" s="115"/>
      <c r="QA30" s="115"/>
      <c r="QB30" s="115"/>
      <c r="QC30" s="115"/>
      <c r="QD30" s="115"/>
      <c r="QE30" s="115"/>
      <c r="QF30" s="115"/>
      <c r="QG30" s="115"/>
      <c r="QH30" s="115"/>
      <c r="QI30" s="115"/>
      <c r="QJ30" s="115"/>
      <c r="QK30" s="115"/>
      <c r="QL30" s="115"/>
      <c r="QM30" s="115"/>
      <c r="QN30" s="115"/>
      <c r="QO30" s="115"/>
      <c r="QP30" s="115"/>
      <c r="QQ30" s="115"/>
      <c r="QR30" s="115"/>
      <c r="QS30" s="115"/>
      <c r="QT30" s="115"/>
      <c r="QU30" s="115"/>
      <c r="QV30" s="115"/>
      <c r="QW30" s="115"/>
      <c r="QX30" s="115"/>
      <c r="QY30" s="115"/>
      <c r="QZ30" s="115"/>
      <c r="RA30" s="115"/>
      <c r="RB30" s="115"/>
      <c r="RC30" s="115"/>
      <c r="RD30" s="115"/>
      <c r="RE30" s="115"/>
      <c r="RF30" s="115"/>
      <c r="RG30" s="115"/>
      <c r="RH30" s="115"/>
      <c r="RI30" s="115"/>
      <c r="RJ30" s="115"/>
      <c r="RK30" s="115"/>
      <c r="RL30" s="115"/>
      <c r="RM30" s="115"/>
      <c r="RN30" s="115"/>
      <c r="RO30" s="115"/>
      <c r="RP30" s="115"/>
      <c r="RQ30" s="115"/>
      <c r="RR30" s="115"/>
      <c r="RS30" s="115"/>
      <c r="RT30" s="115"/>
      <c r="RU30" s="115"/>
      <c r="RV30" s="115"/>
      <c r="RW30" s="115"/>
      <c r="RX30" s="115"/>
      <c r="RY30" s="115"/>
      <c r="RZ30" s="115"/>
      <c r="SA30" s="115"/>
      <c r="SB30" s="115"/>
      <c r="SC30" s="115"/>
      <c r="SD30" s="115"/>
      <c r="SE30" s="115"/>
      <c r="SF30" s="115"/>
      <c r="SG30" s="115"/>
      <c r="SH30" s="115"/>
      <c r="SI30" s="115"/>
      <c r="SJ30" s="115"/>
      <c r="SK30" s="115"/>
      <c r="SL30" s="115"/>
      <c r="SM30" s="115"/>
      <c r="SN30" s="115"/>
      <c r="SO30" s="115"/>
      <c r="SP30" s="115"/>
      <c r="SQ30" s="115"/>
      <c r="SR30" s="115"/>
      <c r="SS30" s="115"/>
      <c r="ST30" s="115"/>
      <c r="SU30" s="115"/>
      <c r="SV30" s="115"/>
      <c r="SW30" s="115"/>
      <c r="SX30" s="115"/>
      <c r="SY30" s="115"/>
      <c r="SZ30" s="115"/>
      <c r="TA30" s="115"/>
      <c r="TB30" s="115"/>
      <c r="TC30" s="115"/>
      <c r="TD30" s="115"/>
      <c r="TE30" s="115"/>
      <c r="TF30" s="115"/>
      <c r="TG30" s="115"/>
      <c r="TH30" s="115"/>
      <c r="TI30" s="115"/>
      <c r="TJ30" s="115"/>
      <c r="TK30" s="115"/>
      <c r="TL30" s="115"/>
      <c r="TM30" s="115"/>
      <c r="TN30" s="115"/>
      <c r="TO30" s="115"/>
      <c r="TP30" s="115"/>
      <c r="TQ30" s="115"/>
      <c r="TR30" s="115"/>
      <c r="TS30" s="115"/>
      <c r="TT30" s="115"/>
      <c r="TU30" s="115"/>
      <c r="TV30" s="115"/>
      <c r="TW30" s="115"/>
      <c r="TX30" s="115"/>
      <c r="TY30" s="115"/>
      <c r="TZ30" s="115"/>
      <c r="UA30" s="115"/>
      <c r="UB30" s="115"/>
      <c r="UC30" s="115"/>
      <c r="UD30" s="115"/>
      <c r="UE30" s="115"/>
      <c r="UF30" s="115"/>
      <c r="UG30" s="115"/>
      <c r="UH30" s="115"/>
      <c r="UI30" s="115"/>
      <c r="UJ30" s="115"/>
      <c r="UK30" s="115"/>
      <c r="UL30" s="115"/>
      <c r="UM30" s="115"/>
      <c r="UN30" s="115"/>
      <c r="UO30" s="115"/>
      <c r="UP30" s="115"/>
      <c r="UQ30" s="115"/>
      <c r="UR30" s="115"/>
      <c r="US30" s="115"/>
      <c r="UT30" s="115"/>
      <c r="UU30" s="115"/>
      <c r="UV30" s="115"/>
      <c r="UW30" s="115"/>
      <c r="UX30" s="115"/>
      <c r="UY30" s="115"/>
      <c r="UZ30" s="115"/>
      <c r="VA30" s="115"/>
      <c r="VB30" s="115"/>
      <c r="VC30" s="115"/>
      <c r="VD30" s="115"/>
      <c r="VE30" s="115"/>
      <c r="VF30" s="115"/>
      <c r="VG30" s="115"/>
      <c r="VH30" s="115"/>
      <c r="VI30" s="115"/>
      <c r="VJ30" s="115"/>
      <c r="VK30" s="115"/>
      <c r="VL30" s="115"/>
      <c r="VM30" s="115"/>
      <c r="VN30" s="115"/>
      <c r="VO30" s="115"/>
      <c r="VP30" s="115"/>
      <c r="VQ30" s="115"/>
      <c r="VR30" s="115"/>
      <c r="VS30" s="115"/>
      <c r="VT30" s="115"/>
      <c r="VU30" s="115"/>
      <c r="VV30" s="115"/>
      <c r="VW30" s="115"/>
      <c r="VX30" s="115"/>
      <c r="VY30" s="115"/>
      <c r="VZ30" s="115"/>
      <c r="WA30" s="115"/>
      <c r="WB30" s="115"/>
      <c r="WC30" s="115"/>
      <c r="WD30" s="115"/>
      <c r="WE30" s="115"/>
      <c r="WF30" s="115"/>
      <c r="WG30" s="115"/>
      <c r="WH30" s="115"/>
      <c r="WI30" s="115"/>
      <c r="WJ30" s="115"/>
      <c r="WK30" s="115"/>
      <c r="WL30" s="115"/>
      <c r="WM30" s="115"/>
      <c r="WN30" s="115"/>
      <c r="WO30" s="115"/>
      <c r="WP30" s="115"/>
      <c r="WQ30" s="115"/>
      <c r="WR30" s="115"/>
      <c r="WS30" s="115"/>
      <c r="WT30" s="115"/>
      <c r="WU30" s="115"/>
      <c r="WV30" s="115"/>
      <c r="WW30" s="115"/>
      <c r="WX30" s="115"/>
      <c r="WY30" s="115"/>
      <c r="WZ30" s="115"/>
      <c r="XA30" s="115"/>
      <c r="XB30" s="115"/>
      <c r="XC30" s="115"/>
      <c r="XD30" s="115"/>
      <c r="XE30" s="115"/>
      <c r="XF30" s="115"/>
      <c r="XG30" s="115"/>
      <c r="XH30" s="115"/>
      <c r="XI30" s="115"/>
      <c r="XJ30" s="115"/>
      <c r="XK30" s="115"/>
      <c r="XL30" s="115"/>
      <c r="XM30" s="115"/>
      <c r="XN30" s="115"/>
      <c r="XO30" s="115"/>
      <c r="XP30" s="115"/>
      <c r="XQ30" s="115"/>
      <c r="XR30" s="115"/>
      <c r="XS30" s="115"/>
      <c r="XT30" s="115"/>
      <c r="XU30" s="115"/>
      <c r="XV30" s="115"/>
      <c r="XW30" s="115"/>
      <c r="XX30" s="115"/>
      <c r="XY30" s="115"/>
      <c r="XZ30" s="115"/>
      <c r="YA30" s="115"/>
      <c r="YB30" s="115"/>
      <c r="YC30" s="115"/>
      <c r="YD30" s="115"/>
      <c r="YE30" s="115"/>
      <c r="YF30" s="115"/>
      <c r="YG30" s="115"/>
      <c r="YH30" s="115"/>
      <c r="YI30" s="115"/>
      <c r="YJ30" s="115"/>
      <c r="YK30" s="115"/>
      <c r="YL30" s="115"/>
      <c r="YM30" s="115"/>
      <c r="YN30" s="115"/>
      <c r="YO30" s="115"/>
      <c r="YP30" s="115"/>
      <c r="YQ30" s="115"/>
      <c r="YR30" s="115"/>
      <c r="YS30" s="115"/>
      <c r="YT30" s="115"/>
      <c r="YU30" s="115"/>
      <c r="YV30" s="115"/>
      <c r="YW30" s="115"/>
      <c r="YX30" s="115"/>
      <c r="YY30" s="115"/>
      <c r="YZ30" s="115"/>
      <c r="ZA30" s="115"/>
      <c r="ZB30" s="115"/>
      <c r="ZC30" s="115"/>
      <c r="ZD30" s="115"/>
      <c r="ZE30" s="115"/>
      <c r="ZF30" s="115"/>
      <c r="ZG30" s="115"/>
      <c r="ZH30" s="115"/>
      <c r="ZI30" s="115"/>
      <c r="ZJ30" s="115"/>
      <c r="ZK30" s="115"/>
      <c r="ZL30" s="115"/>
      <c r="ZM30" s="115"/>
      <c r="ZN30" s="115"/>
      <c r="ZO30" s="115"/>
      <c r="ZP30" s="115"/>
      <c r="ZQ30" s="115"/>
      <c r="ZR30" s="115"/>
      <c r="ZS30" s="115"/>
      <c r="ZT30" s="115"/>
      <c r="ZU30" s="115"/>
      <c r="ZV30" s="115"/>
      <c r="ZW30" s="115"/>
      <c r="ZX30" s="115"/>
      <c r="ZY30" s="115"/>
      <c r="ZZ30" s="115"/>
      <c r="AAA30" s="115"/>
      <c r="AAB30" s="115"/>
      <c r="AAC30" s="115"/>
      <c r="AAD30" s="115"/>
      <c r="AAE30" s="115"/>
      <c r="AAF30" s="115"/>
      <c r="AAG30" s="115"/>
      <c r="AAH30" s="115"/>
      <c r="AAI30" s="115"/>
      <c r="AAJ30" s="115"/>
      <c r="AAK30" s="115"/>
      <c r="AAL30" s="115"/>
      <c r="AAM30" s="115"/>
      <c r="AAN30" s="115"/>
      <c r="AAO30" s="115"/>
      <c r="AAP30" s="115"/>
      <c r="AAQ30" s="115"/>
      <c r="AAR30" s="115"/>
      <c r="AAS30" s="115"/>
      <c r="AAT30" s="115"/>
      <c r="AAU30" s="115"/>
      <c r="AAV30" s="115"/>
      <c r="AAW30" s="115"/>
      <c r="AAX30" s="115"/>
      <c r="AAY30" s="115"/>
      <c r="AAZ30" s="115"/>
      <c r="ABA30" s="115"/>
      <c r="ABB30" s="115"/>
      <c r="ABC30" s="115"/>
      <c r="ABD30" s="115"/>
      <c r="ABE30" s="115"/>
      <c r="ABF30" s="115"/>
      <c r="ABG30" s="115"/>
      <c r="ABH30" s="115"/>
      <c r="ABI30" s="115"/>
      <c r="ABJ30" s="115"/>
      <c r="ABK30" s="115"/>
      <c r="ABL30" s="115"/>
      <c r="ABM30" s="115"/>
      <c r="ABN30" s="115"/>
      <c r="ABO30" s="115"/>
      <c r="ABP30" s="115"/>
      <c r="ABQ30" s="115"/>
      <c r="ABR30" s="115"/>
      <c r="ABS30" s="115"/>
      <c r="ABT30" s="115"/>
      <c r="ABU30" s="115"/>
      <c r="ABV30" s="115"/>
      <c r="ABW30" s="115"/>
      <c r="ABX30" s="115"/>
      <c r="ABY30" s="115"/>
      <c r="ABZ30" s="115"/>
      <c r="ACA30" s="115"/>
      <c r="ACB30" s="115"/>
      <c r="ACC30" s="115"/>
      <c r="ACD30" s="115"/>
      <c r="ACE30" s="115"/>
      <c r="ACF30" s="115"/>
      <c r="ACG30" s="115"/>
      <c r="ACH30" s="115"/>
      <c r="ACI30" s="115"/>
      <c r="ACJ30" s="115"/>
      <c r="ACK30" s="115"/>
      <c r="ACL30" s="115"/>
      <c r="ACM30" s="115"/>
      <c r="ACN30" s="115"/>
      <c r="ACO30" s="115"/>
      <c r="ACP30" s="115"/>
      <c r="ACQ30" s="115"/>
      <c r="ACR30" s="115"/>
      <c r="ACS30" s="115"/>
      <c r="ACT30" s="115"/>
      <c r="ACU30" s="115"/>
      <c r="ACV30" s="115"/>
      <c r="ACW30" s="115"/>
      <c r="ACX30" s="115"/>
      <c r="ACY30" s="115"/>
      <c r="ACZ30" s="115"/>
      <c r="ADA30" s="115"/>
      <c r="ADB30" s="115"/>
      <c r="ADC30" s="115"/>
      <c r="ADD30" s="115"/>
      <c r="ADE30" s="115"/>
      <c r="ADF30" s="115"/>
      <c r="ADG30" s="115"/>
      <c r="ADH30" s="115"/>
      <c r="ADI30" s="115"/>
      <c r="ADJ30" s="115"/>
      <c r="ADK30" s="115"/>
      <c r="ADL30" s="115"/>
      <c r="ADM30" s="115"/>
      <c r="ADN30" s="115"/>
      <c r="ADO30" s="115"/>
      <c r="ADP30" s="115"/>
      <c r="ADQ30" s="115"/>
      <c r="ADR30" s="115"/>
      <c r="ADS30" s="115"/>
      <c r="ADT30" s="115"/>
      <c r="ADU30" s="115"/>
      <c r="ADV30" s="115"/>
      <c r="ADW30" s="115"/>
      <c r="ADX30" s="115"/>
      <c r="ADY30" s="115"/>
      <c r="ADZ30" s="115"/>
      <c r="AEA30" s="115"/>
      <c r="AEB30" s="115"/>
      <c r="AEC30" s="115"/>
      <c r="AED30" s="115"/>
      <c r="AEE30" s="115"/>
      <c r="AEF30" s="115"/>
      <c r="AEG30" s="115"/>
      <c r="AEH30" s="115"/>
      <c r="AEI30" s="115"/>
      <c r="AEJ30" s="115"/>
      <c r="AEK30" s="115"/>
      <c r="AEL30" s="115"/>
      <c r="AEM30" s="115"/>
      <c r="AEN30" s="115"/>
      <c r="AEO30" s="115"/>
      <c r="AEP30" s="115"/>
      <c r="AEQ30" s="115"/>
      <c r="AER30" s="115"/>
      <c r="AES30" s="115"/>
      <c r="AET30" s="115"/>
      <c r="AEU30" s="115"/>
      <c r="AEV30" s="115"/>
      <c r="AEW30" s="115"/>
      <c r="AEX30" s="115"/>
      <c r="AEY30" s="115"/>
      <c r="AEZ30" s="115"/>
      <c r="AFA30" s="115"/>
      <c r="AFB30" s="115"/>
      <c r="AFC30" s="115"/>
      <c r="AFD30" s="115"/>
      <c r="AFE30" s="115"/>
      <c r="AFF30" s="115"/>
      <c r="AFG30" s="115"/>
      <c r="AFH30" s="115"/>
      <c r="AFI30" s="115"/>
      <c r="AFJ30" s="115"/>
      <c r="AFK30" s="115"/>
      <c r="AFL30" s="115"/>
      <c r="AFM30" s="115"/>
      <c r="AFN30" s="115"/>
      <c r="AFO30" s="115"/>
      <c r="AFP30" s="115"/>
      <c r="AFQ30" s="115"/>
      <c r="AFR30" s="115"/>
      <c r="AFS30" s="115"/>
      <c r="AFT30" s="115"/>
      <c r="AFU30" s="115"/>
      <c r="AFV30" s="115"/>
      <c r="AFW30" s="115"/>
      <c r="AFX30" s="115"/>
      <c r="AFY30" s="115"/>
      <c r="AFZ30" s="115"/>
      <c r="AGA30" s="115"/>
      <c r="AGB30" s="115"/>
      <c r="AGC30" s="115"/>
      <c r="AGD30" s="115"/>
      <c r="AGE30" s="115"/>
      <c r="AGF30" s="115"/>
      <c r="AGG30" s="115"/>
      <c r="AGH30" s="115"/>
      <c r="AGI30" s="115"/>
      <c r="AGJ30" s="115"/>
      <c r="AGK30" s="115"/>
      <c r="AGL30" s="115"/>
      <c r="AGM30" s="115"/>
      <c r="AGN30" s="115"/>
      <c r="AGO30" s="115"/>
      <c r="AGP30" s="115"/>
      <c r="AGQ30" s="115"/>
      <c r="AGR30" s="115"/>
      <c r="AGS30" s="115"/>
      <c r="AGT30" s="115"/>
      <c r="AGU30" s="115"/>
      <c r="AGV30" s="115"/>
      <c r="AGW30" s="115"/>
      <c r="AGX30" s="115"/>
      <c r="AGY30" s="115"/>
      <c r="AGZ30" s="115"/>
      <c r="AHA30" s="115"/>
      <c r="AHB30" s="115"/>
      <c r="AHC30" s="115"/>
      <c r="AHD30" s="115"/>
      <c r="AHE30" s="115"/>
      <c r="AHF30" s="115"/>
      <c r="AHG30" s="115"/>
      <c r="AHH30" s="115"/>
      <c r="AHI30" s="115"/>
      <c r="AHJ30" s="115"/>
      <c r="AHK30" s="115"/>
      <c r="AHL30" s="115"/>
      <c r="AHM30" s="115"/>
      <c r="AHN30" s="115"/>
      <c r="AHO30" s="115"/>
      <c r="AHP30" s="115"/>
      <c r="AHQ30" s="115"/>
      <c r="AHR30" s="115"/>
      <c r="AHS30" s="115"/>
      <c r="AHT30" s="115"/>
      <c r="AHU30" s="115"/>
      <c r="AHV30" s="115"/>
      <c r="AHW30" s="115"/>
      <c r="AHX30" s="115"/>
      <c r="AHY30" s="115"/>
      <c r="AHZ30" s="115"/>
      <c r="AIA30" s="115"/>
      <c r="AIB30" s="115"/>
      <c r="AIC30" s="115"/>
      <c r="AID30" s="115"/>
      <c r="AIE30" s="115"/>
      <c r="AIF30" s="115"/>
      <c r="AIG30" s="115"/>
      <c r="AIH30" s="115"/>
      <c r="AII30" s="115"/>
      <c r="AIJ30" s="115"/>
      <c r="AIK30" s="115"/>
      <c r="AIL30" s="115"/>
      <c r="AIM30" s="115"/>
      <c r="AIN30" s="115"/>
      <c r="AIO30" s="115"/>
      <c r="AIP30" s="115"/>
      <c r="AIQ30" s="115"/>
      <c r="AIR30" s="115"/>
      <c r="AIS30" s="115"/>
      <c r="AIT30" s="115"/>
      <c r="AIU30" s="115"/>
      <c r="AIV30" s="115"/>
      <c r="AIW30" s="115"/>
      <c r="AIX30" s="115"/>
      <c r="AIY30" s="115"/>
      <c r="AIZ30" s="115"/>
      <c r="AJA30" s="115"/>
      <c r="AJB30" s="115"/>
      <c r="AJC30" s="115"/>
      <c r="AJD30" s="115"/>
      <c r="AJE30" s="115"/>
      <c r="AJF30" s="115"/>
      <c r="AJG30" s="115"/>
      <c r="AJH30" s="115"/>
      <c r="AJI30" s="115"/>
      <c r="AJJ30" s="115"/>
      <c r="AJK30" s="115"/>
      <c r="AJL30" s="115"/>
      <c r="AJM30" s="115"/>
      <c r="AJN30" s="115"/>
      <c r="AJO30" s="115"/>
      <c r="AJP30" s="115"/>
      <c r="AJQ30" s="115"/>
      <c r="AJR30" s="115"/>
      <c r="AJS30" s="115"/>
      <c r="AJT30" s="115"/>
      <c r="AJU30" s="115"/>
      <c r="AJV30" s="115"/>
      <c r="AJW30" s="115"/>
      <c r="AJX30" s="115"/>
      <c r="AJY30" s="115"/>
      <c r="AJZ30" s="115"/>
      <c r="AKA30" s="115"/>
      <c r="AKB30" s="115"/>
      <c r="AKC30" s="115"/>
      <c r="AKD30" s="115"/>
      <c r="AKE30" s="115"/>
      <c r="AKF30" s="115"/>
      <c r="AKG30" s="115"/>
      <c r="AKH30" s="115"/>
      <c r="AKI30" s="115"/>
      <c r="AKJ30" s="115"/>
      <c r="AKK30" s="115"/>
      <c r="AKL30" s="115"/>
      <c r="AKM30" s="115"/>
      <c r="AKN30" s="115"/>
      <c r="AKO30" s="115"/>
      <c r="AKP30" s="115"/>
      <c r="AKQ30" s="115"/>
      <c r="AKR30" s="115"/>
      <c r="AKS30" s="115"/>
      <c r="AKT30" s="115"/>
      <c r="AKU30" s="115"/>
      <c r="AKV30" s="115"/>
      <c r="AKW30" s="115"/>
      <c r="AKX30" s="115"/>
      <c r="AKY30" s="115"/>
      <c r="AKZ30" s="115"/>
      <c r="ALA30" s="115"/>
      <c r="ALB30" s="115"/>
      <c r="ALC30" s="115"/>
      <c r="ALD30" s="115"/>
      <c r="ALE30" s="115"/>
      <c r="ALF30" s="115"/>
      <c r="ALG30" s="115"/>
      <c r="ALH30" s="115"/>
      <c r="ALI30" s="115"/>
      <c r="ALJ30" s="115"/>
      <c r="ALK30" s="115"/>
      <c r="ALL30" s="115"/>
      <c r="ALM30" s="115"/>
      <c r="ALN30" s="115"/>
      <c r="ALO30" s="115"/>
      <c r="ALP30" s="115"/>
      <c r="ALQ30" s="115"/>
      <c r="ALR30" s="115"/>
      <c r="ALS30" s="115"/>
      <c r="ALT30" s="115"/>
      <c r="ALU30" s="115"/>
      <c r="ALV30" s="115"/>
      <c r="ALW30" s="115"/>
      <c r="ALX30" s="115"/>
      <c r="ALY30" s="115"/>
      <c r="ALZ30" s="115"/>
      <c r="AMA30" s="115"/>
      <c r="AMB30" s="115"/>
      <c r="AMC30" s="115"/>
    </row>
    <row r="31" spans="1:1017" ht="19.5" customHeight="1" x14ac:dyDescent="0.3">
      <c r="A31" s="67" t="s">
        <v>34</v>
      </c>
      <c r="B31" s="568" t="s">
        <v>309</v>
      </c>
      <c r="C31" s="568"/>
      <c r="D31" s="568"/>
      <c r="E31" s="568"/>
      <c r="F31" s="568"/>
      <c r="G31" s="568"/>
      <c r="H31" s="568"/>
      <c r="I31" s="91">
        <f>H22*2</f>
        <v>2242.4</v>
      </c>
    </row>
    <row r="32" spans="1:1017" ht="19.5" customHeight="1" x14ac:dyDescent="0.3">
      <c r="A32" s="67" t="s">
        <v>36</v>
      </c>
      <c r="B32" s="568" t="s">
        <v>310</v>
      </c>
      <c r="C32" s="568"/>
      <c r="D32" s="568"/>
      <c r="E32" s="568"/>
      <c r="F32" s="568"/>
      <c r="G32" s="568"/>
      <c r="H32" s="568"/>
      <c r="I32" s="90" t="s">
        <v>164</v>
      </c>
    </row>
    <row r="33" spans="1:11" ht="30.75" customHeight="1" x14ac:dyDescent="0.3">
      <c r="A33" s="580" t="s">
        <v>311</v>
      </c>
      <c r="B33" s="580"/>
      <c r="C33" s="580"/>
      <c r="D33" s="580"/>
      <c r="E33" s="580"/>
      <c r="F33" s="580"/>
      <c r="G33" s="580"/>
      <c r="H33" s="580"/>
      <c r="I33" s="111">
        <f>SUM(I31:I32)</f>
        <v>2242.4</v>
      </c>
    </row>
    <row r="34" spans="1:11" ht="18.75" customHeight="1" x14ac:dyDescent="0.35">
      <c r="A34" s="604"/>
      <c r="B34" s="604"/>
      <c r="C34" s="604"/>
      <c r="D34" s="604"/>
      <c r="E34" s="604"/>
      <c r="F34" s="604"/>
      <c r="G34" s="604"/>
      <c r="H34" s="604"/>
      <c r="I34" s="604"/>
    </row>
    <row r="35" spans="1:11" ht="30.75" customHeight="1" x14ac:dyDescent="0.3">
      <c r="A35" s="67" t="s">
        <v>99</v>
      </c>
      <c r="B35" s="568" t="s">
        <v>312</v>
      </c>
      <c r="C35" s="568"/>
      <c r="D35" s="568"/>
      <c r="E35" s="568"/>
      <c r="F35" s="568"/>
      <c r="G35" s="568"/>
      <c r="H35" s="568"/>
      <c r="I35" s="91">
        <f>ROUND(H25*15*H27*0.75,2)</f>
        <v>114.75</v>
      </c>
    </row>
    <row r="36" spans="1:11" ht="39.75" customHeight="1" x14ac:dyDescent="0.3">
      <c r="A36" s="618" t="s">
        <v>313</v>
      </c>
      <c r="B36" s="618"/>
      <c r="C36" s="618"/>
      <c r="D36" s="618"/>
      <c r="E36" s="618"/>
      <c r="F36" s="618"/>
      <c r="G36" s="618"/>
      <c r="H36" s="618"/>
      <c r="I36" s="111">
        <f>I35</f>
        <v>114.75</v>
      </c>
    </row>
    <row r="37" spans="1:11" ht="18.75" customHeight="1" x14ac:dyDescent="0.35">
      <c r="A37" s="604"/>
      <c r="B37" s="604"/>
      <c r="C37" s="604"/>
      <c r="D37" s="604"/>
      <c r="E37" s="604"/>
      <c r="F37" s="604"/>
      <c r="G37" s="604"/>
      <c r="H37" s="604"/>
      <c r="I37" s="604"/>
    </row>
    <row r="38" spans="1:11" ht="19.5" customHeight="1" x14ac:dyDescent="0.3">
      <c r="A38" s="580" t="s">
        <v>75</v>
      </c>
      <c r="B38" s="580"/>
      <c r="C38" s="580"/>
      <c r="D38" s="580"/>
      <c r="E38" s="580"/>
      <c r="F38" s="580"/>
      <c r="G38" s="580"/>
      <c r="H38" s="580"/>
      <c r="I38" s="99">
        <f>I33+I36</f>
        <v>2357.15</v>
      </c>
    </row>
    <row r="39" spans="1:11" ht="18.75" customHeight="1" x14ac:dyDescent="0.35">
      <c r="A39" s="604"/>
      <c r="B39" s="604"/>
      <c r="C39" s="604"/>
      <c r="D39" s="604"/>
      <c r="E39" s="604"/>
      <c r="F39" s="604"/>
      <c r="G39" s="604"/>
      <c r="H39" s="604"/>
      <c r="I39" s="604"/>
    </row>
    <row r="40" spans="1:11" ht="19.5" customHeight="1" x14ac:dyDescent="0.3">
      <c r="A40" s="577" t="s">
        <v>216</v>
      </c>
      <c r="B40" s="577"/>
      <c r="C40" s="577"/>
      <c r="D40" s="577"/>
      <c r="E40" s="577"/>
      <c r="F40" s="577"/>
      <c r="G40" s="577"/>
      <c r="H40" s="577"/>
      <c r="I40" s="577"/>
    </row>
    <row r="41" spans="1:11" ht="18.75" customHeight="1" x14ac:dyDescent="0.3">
      <c r="A41" s="587" t="s">
        <v>81</v>
      </c>
      <c r="B41" s="587"/>
      <c r="C41" s="587"/>
      <c r="D41" s="587"/>
      <c r="E41" s="587"/>
      <c r="F41" s="587"/>
      <c r="G41" s="587"/>
      <c r="H41" s="587"/>
      <c r="I41" s="587"/>
    </row>
    <row r="42" spans="1:11" ht="19.5" customHeight="1" x14ac:dyDescent="0.3">
      <c r="A42" s="74" t="s">
        <v>82</v>
      </c>
      <c r="B42" s="582" t="s">
        <v>118</v>
      </c>
      <c r="C42" s="582"/>
      <c r="D42" s="582"/>
      <c r="E42" s="582"/>
      <c r="F42" s="582"/>
      <c r="G42" s="582"/>
      <c r="H42" s="582"/>
      <c r="I42" s="75" t="s">
        <v>85</v>
      </c>
    </row>
    <row r="43" spans="1:11" ht="41.25" customHeight="1" x14ac:dyDescent="0.3">
      <c r="A43" s="76" t="s">
        <v>34</v>
      </c>
      <c r="B43" s="605" t="s">
        <v>314</v>
      </c>
      <c r="C43" s="605"/>
      <c r="D43" s="605"/>
      <c r="E43" s="605"/>
      <c r="F43" s="605"/>
      <c r="G43" s="605"/>
      <c r="H43" s="77">
        <v>8.3299999999999999E-2</v>
      </c>
      <c r="I43" s="94">
        <f>ROUND(I33*H43,2)</f>
        <v>186.79</v>
      </c>
      <c r="K43" s="66" t="s">
        <v>315</v>
      </c>
    </row>
    <row r="44" spans="1:11" ht="19.5" customHeight="1" x14ac:dyDescent="0.3">
      <c r="A44" s="76" t="s">
        <v>36</v>
      </c>
      <c r="B44" s="617" t="s">
        <v>87</v>
      </c>
      <c r="C44" s="617"/>
      <c r="D44" s="617"/>
      <c r="E44" s="617"/>
      <c r="F44" s="617"/>
      <c r="G44" s="617"/>
      <c r="H44" s="79">
        <v>3.0249999999999999E-2</v>
      </c>
      <c r="I44" s="94">
        <f>ROUND(I33*H44,2)</f>
        <v>67.83</v>
      </c>
    </row>
    <row r="45" spans="1:11" ht="18.75" customHeight="1" x14ac:dyDescent="0.3">
      <c r="A45" s="574" t="s">
        <v>75</v>
      </c>
      <c r="B45" s="574"/>
      <c r="C45" s="574"/>
      <c r="D45" s="574"/>
      <c r="E45" s="574"/>
      <c r="F45" s="574"/>
      <c r="G45" s="574"/>
      <c r="H45" s="574"/>
      <c r="I45" s="83">
        <f>SUM(I43+I44)</f>
        <v>254.62</v>
      </c>
    </row>
    <row r="46" spans="1:11" ht="18.75" customHeight="1" x14ac:dyDescent="0.35">
      <c r="A46" s="604"/>
      <c r="B46" s="604"/>
      <c r="C46" s="604"/>
      <c r="D46" s="604"/>
      <c r="E46" s="604"/>
      <c r="F46" s="604"/>
      <c r="G46" s="604"/>
      <c r="H46" s="604"/>
      <c r="I46" s="604"/>
    </row>
    <row r="47" spans="1:11" ht="18.75" customHeight="1" x14ac:dyDescent="0.3">
      <c r="A47" s="587" t="s">
        <v>220</v>
      </c>
      <c r="B47" s="587"/>
      <c r="C47" s="587"/>
      <c r="D47" s="587"/>
      <c r="E47" s="587"/>
      <c r="F47" s="587"/>
      <c r="G47" s="587"/>
      <c r="H47" s="587"/>
      <c r="I47" s="587"/>
    </row>
    <row r="48" spans="1:11" ht="19.5" customHeight="1" x14ac:dyDescent="0.3">
      <c r="A48" s="74" t="s">
        <v>89</v>
      </c>
      <c r="B48" s="582" t="s">
        <v>90</v>
      </c>
      <c r="C48" s="582"/>
      <c r="D48" s="582"/>
      <c r="E48" s="582"/>
      <c r="F48" s="582"/>
      <c r="G48" s="582"/>
      <c r="H48" s="75" t="s">
        <v>221</v>
      </c>
      <c r="I48" s="75" t="s">
        <v>85</v>
      </c>
    </row>
    <row r="49" spans="1:9" ht="19.5" customHeight="1" x14ac:dyDescent="0.3">
      <c r="A49" s="118" t="s">
        <v>34</v>
      </c>
      <c r="B49" s="568" t="s">
        <v>316</v>
      </c>
      <c r="C49" s="568"/>
      <c r="D49" s="568"/>
      <c r="E49" s="568"/>
      <c r="F49" s="568"/>
      <c r="G49" s="568"/>
      <c r="H49" s="84">
        <v>0.2</v>
      </c>
      <c r="I49" s="81">
        <f>ROUND((I33+I45)*H49,2)</f>
        <v>499.4</v>
      </c>
    </row>
    <row r="50" spans="1:9" ht="19.5" customHeight="1" x14ac:dyDescent="0.3">
      <c r="A50" s="118" t="s">
        <v>36</v>
      </c>
      <c r="B50" s="568" t="s">
        <v>317</v>
      </c>
      <c r="C50" s="568"/>
      <c r="D50" s="568"/>
      <c r="E50" s="568"/>
      <c r="F50" s="568"/>
      <c r="G50" s="568"/>
      <c r="H50" s="84">
        <v>2.5000000000000001E-2</v>
      </c>
      <c r="I50" s="81">
        <f>ROUND((I33+I45)*H50,2)</f>
        <v>62.43</v>
      </c>
    </row>
    <row r="51" spans="1:9" ht="51.75" customHeight="1" x14ac:dyDescent="0.3">
      <c r="A51" s="118" t="s">
        <v>38</v>
      </c>
      <c r="B51" s="568" t="s">
        <v>318</v>
      </c>
      <c r="C51" s="568"/>
      <c r="D51" s="67" t="s">
        <v>94</v>
      </c>
      <c r="E51" s="85">
        <v>0.02</v>
      </c>
      <c r="F51" s="67" t="s">
        <v>95</v>
      </c>
      <c r="G51" s="86">
        <v>0.99</v>
      </c>
      <c r="H51" s="87">
        <f>E51*G51</f>
        <v>1.9800000000000002E-2</v>
      </c>
      <c r="I51" s="81">
        <f>ROUND((I33+I45)*H51,2)</f>
        <v>49.44</v>
      </c>
    </row>
    <row r="52" spans="1:9" ht="19.5" customHeight="1" x14ac:dyDescent="0.3">
      <c r="A52" s="118" t="s">
        <v>40</v>
      </c>
      <c r="B52" s="568" t="s">
        <v>319</v>
      </c>
      <c r="C52" s="568"/>
      <c r="D52" s="568"/>
      <c r="E52" s="568"/>
      <c r="F52" s="568"/>
      <c r="G52" s="568"/>
      <c r="H52" s="84">
        <v>1.4999999999999999E-2</v>
      </c>
      <c r="I52" s="81">
        <f>ROUND((I33+I45)*H52,2)</f>
        <v>37.46</v>
      </c>
    </row>
    <row r="53" spans="1:9" ht="19.5" customHeight="1" x14ac:dyDescent="0.3">
      <c r="A53" s="118" t="s">
        <v>73</v>
      </c>
      <c r="B53" s="568" t="s">
        <v>320</v>
      </c>
      <c r="C53" s="568"/>
      <c r="D53" s="568"/>
      <c r="E53" s="568"/>
      <c r="F53" s="568"/>
      <c r="G53" s="568"/>
      <c r="H53" s="84">
        <v>0.01</v>
      </c>
      <c r="I53" s="81">
        <f>ROUND((I33+I45)*H53,2)</f>
        <v>24.97</v>
      </c>
    </row>
    <row r="54" spans="1:9" ht="19.5" customHeight="1" x14ac:dyDescent="0.3">
      <c r="A54" s="118" t="s">
        <v>76</v>
      </c>
      <c r="B54" s="568" t="s">
        <v>321</v>
      </c>
      <c r="C54" s="568"/>
      <c r="D54" s="568"/>
      <c r="E54" s="568"/>
      <c r="F54" s="568"/>
      <c r="G54" s="568"/>
      <c r="H54" s="84">
        <v>6.0000000000000001E-3</v>
      </c>
      <c r="I54" s="81">
        <f>ROUND((I33+I45)*H54,2)</f>
        <v>14.98</v>
      </c>
    </row>
    <row r="55" spans="1:9" ht="19.5" customHeight="1" x14ac:dyDescent="0.3">
      <c r="A55" s="118" t="s">
        <v>99</v>
      </c>
      <c r="B55" s="568" t="s">
        <v>322</v>
      </c>
      <c r="C55" s="568"/>
      <c r="D55" s="568"/>
      <c r="E55" s="568"/>
      <c r="F55" s="568"/>
      <c r="G55" s="568"/>
      <c r="H55" s="84">
        <v>2E-3</v>
      </c>
      <c r="I55" s="81">
        <f>ROUND((I33+I45)*H55,2)</f>
        <v>4.99</v>
      </c>
    </row>
    <row r="56" spans="1:9" ht="19.5" customHeight="1" x14ac:dyDescent="0.3">
      <c r="A56" s="118" t="s">
        <v>101</v>
      </c>
      <c r="B56" s="568" t="s">
        <v>102</v>
      </c>
      <c r="C56" s="568"/>
      <c r="D56" s="568"/>
      <c r="E56" s="568"/>
      <c r="F56" s="568"/>
      <c r="G56" s="568"/>
      <c r="H56" s="84">
        <v>0.08</v>
      </c>
      <c r="I56" s="81">
        <f>ROUND((I33+I45)*H56,2)</f>
        <v>199.76</v>
      </c>
    </row>
    <row r="57" spans="1:9" ht="18.75" customHeight="1" x14ac:dyDescent="0.3">
      <c r="A57" s="574" t="s">
        <v>75</v>
      </c>
      <c r="B57" s="574"/>
      <c r="C57" s="574"/>
      <c r="D57" s="574"/>
      <c r="E57" s="574"/>
      <c r="F57" s="574"/>
      <c r="G57" s="574"/>
      <c r="H57" s="88">
        <f>SUM(H49:H56)</f>
        <v>0.35780000000000006</v>
      </c>
      <c r="I57" s="83">
        <f>SUM(I49:I56)</f>
        <v>893.43000000000006</v>
      </c>
    </row>
    <row r="58" spans="1:9" ht="18.75" customHeight="1" x14ac:dyDescent="0.3">
      <c r="A58" s="119"/>
      <c r="B58" s="120"/>
      <c r="C58" s="120"/>
      <c r="D58" s="120"/>
      <c r="E58" s="120"/>
      <c r="F58" s="120"/>
      <c r="G58" s="120"/>
      <c r="H58" s="121"/>
      <c r="I58" s="122"/>
    </row>
    <row r="59" spans="1:9" ht="18.75" customHeight="1" x14ac:dyDescent="0.3">
      <c r="A59" s="587" t="s">
        <v>103</v>
      </c>
      <c r="B59" s="587"/>
      <c r="C59" s="587"/>
      <c r="D59" s="587"/>
      <c r="E59" s="587"/>
      <c r="F59" s="587"/>
      <c r="G59" s="587"/>
      <c r="H59" s="587"/>
      <c r="I59" s="587"/>
    </row>
    <row r="60" spans="1:9" ht="19.5" customHeight="1" x14ac:dyDescent="0.3">
      <c r="A60" s="74" t="s">
        <v>104</v>
      </c>
      <c r="B60" s="582" t="s">
        <v>105</v>
      </c>
      <c r="C60" s="582"/>
      <c r="D60" s="582"/>
      <c r="E60" s="582"/>
      <c r="F60" s="582"/>
      <c r="G60" s="582"/>
      <c r="H60" s="582"/>
      <c r="I60" s="75" t="s">
        <v>85</v>
      </c>
    </row>
    <row r="61" spans="1:9" ht="30.75" customHeight="1" x14ac:dyDescent="0.3">
      <c r="A61" s="588" t="s">
        <v>34</v>
      </c>
      <c r="B61" s="599" t="s">
        <v>323</v>
      </c>
      <c r="C61" s="599"/>
      <c r="D61" s="599"/>
      <c r="E61" s="599"/>
      <c r="F61" s="599"/>
      <c r="G61" s="599"/>
      <c r="H61" s="599"/>
      <c r="I61" s="81">
        <f>IF(ROUND((H62*H64*H63)-(I31*H65),2)&lt;0,0,ROUND((H62*H64*H63)-(I31*H65),2))</f>
        <v>148.72999999999999</v>
      </c>
    </row>
    <row r="62" spans="1:9" ht="34.5" customHeight="1" x14ac:dyDescent="0.3">
      <c r="A62" s="588"/>
      <c r="B62" s="601" t="s">
        <v>324</v>
      </c>
      <c r="C62" s="601"/>
      <c r="D62" s="601"/>
      <c r="E62" s="601"/>
      <c r="F62" s="601"/>
      <c r="G62" s="601"/>
      <c r="H62" s="89">
        <v>3.6</v>
      </c>
      <c r="I62" s="90" t="s">
        <v>164</v>
      </c>
    </row>
    <row r="63" spans="1:9" ht="19.5" customHeight="1" x14ac:dyDescent="0.3">
      <c r="A63" s="588"/>
      <c r="B63" s="601" t="s">
        <v>325</v>
      </c>
      <c r="C63" s="601"/>
      <c r="D63" s="601"/>
      <c r="E63" s="601"/>
      <c r="F63" s="601"/>
      <c r="G63" s="601"/>
      <c r="H63" s="91">
        <v>2</v>
      </c>
      <c r="I63" s="90" t="s">
        <v>164</v>
      </c>
    </row>
    <row r="64" spans="1:9" ht="19.5" customHeight="1" x14ac:dyDescent="0.3">
      <c r="A64" s="588"/>
      <c r="B64" s="601" t="s">
        <v>109</v>
      </c>
      <c r="C64" s="601"/>
      <c r="D64" s="601"/>
      <c r="E64" s="601"/>
      <c r="F64" s="601"/>
      <c r="G64" s="601"/>
      <c r="H64" s="92">
        <v>30</v>
      </c>
      <c r="I64" s="90"/>
    </row>
    <row r="65" spans="1:9" ht="19.5" customHeight="1" x14ac:dyDescent="0.3">
      <c r="A65" s="588"/>
      <c r="B65" s="601" t="s">
        <v>110</v>
      </c>
      <c r="C65" s="601"/>
      <c r="D65" s="601"/>
      <c r="E65" s="601"/>
      <c r="F65" s="601"/>
      <c r="G65" s="601"/>
      <c r="H65" s="123">
        <v>0.03</v>
      </c>
      <c r="I65" s="90"/>
    </row>
    <row r="66" spans="1:9" ht="30.75" customHeight="1" x14ac:dyDescent="0.3">
      <c r="A66" s="588" t="s">
        <v>36</v>
      </c>
      <c r="B66" s="568" t="s">
        <v>326</v>
      </c>
      <c r="C66" s="568"/>
      <c r="D66" s="568"/>
      <c r="E66" s="568"/>
      <c r="F66" s="568"/>
      <c r="G66" s="568"/>
      <c r="H66" s="568"/>
      <c r="I66" s="124">
        <f>ROUND(H68*H67*(1-H69),2)*1+ROUND(21.726*6*(1-H69),2)*0</f>
        <v>594</v>
      </c>
    </row>
    <row r="67" spans="1:9" ht="19.5" customHeight="1" x14ac:dyDescent="0.3">
      <c r="A67" s="588"/>
      <c r="B67" s="601" t="s">
        <v>327</v>
      </c>
      <c r="C67" s="601"/>
      <c r="D67" s="601"/>
      <c r="E67" s="601"/>
      <c r="F67" s="601"/>
      <c r="G67" s="601"/>
      <c r="H67" s="89">
        <v>20</v>
      </c>
      <c r="I67" s="90" t="s">
        <v>164</v>
      </c>
    </row>
    <row r="68" spans="1:9" ht="19.5" customHeight="1" x14ac:dyDescent="0.3">
      <c r="A68" s="588"/>
      <c r="B68" s="601" t="s">
        <v>112</v>
      </c>
      <c r="C68" s="601"/>
      <c r="D68" s="601"/>
      <c r="E68" s="601"/>
      <c r="F68" s="601"/>
      <c r="G68" s="601"/>
      <c r="H68" s="92">
        <v>30</v>
      </c>
      <c r="I68" s="90"/>
    </row>
    <row r="69" spans="1:9" ht="19.5" customHeight="1" x14ac:dyDescent="0.3">
      <c r="A69" s="588"/>
      <c r="B69" s="601" t="s">
        <v>328</v>
      </c>
      <c r="C69" s="601"/>
      <c r="D69" s="601"/>
      <c r="E69" s="601"/>
      <c r="F69" s="601"/>
      <c r="G69" s="601"/>
      <c r="H69" s="123">
        <v>0.01</v>
      </c>
      <c r="I69" s="90"/>
    </row>
    <row r="70" spans="1:9" ht="19.5" customHeight="1" x14ac:dyDescent="0.3">
      <c r="A70" s="76" t="s">
        <v>38</v>
      </c>
      <c r="B70" s="568" t="s">
        <v>230</v>
      </c>
      <c r="C70" s="568"/>
      <c r="D70" s="568"/>
      <c r="E70" s="568"/>
      <c r="F70" s="568"/>
      <c r="G70" s="568"/>
      <c r="H70" s="568"/>
      <c r="I70" s="81">
        <v>0</v>
      </c>
    </row>
    <row r="71" spans="1:9" ht="19.5" customHeight="1" x14ac:dyDescent="0.3">
      <c r="A71" s="76" t="s">
        <v>73</v>
      </c>
      <c r="B71" s="568" t="s">
        <v>233</v>
      </c>
      <c r="C71" s="568"/>
      <c r="D71" s="568"/>
      <c r="E71" s="568"/>
      <c r="F71" s="568"/>
      <c r="G71" s="568"/>
      <c r="H71" s="568"/>
      <c r="I71" s="81">
        <f>3*I31*0.001068</f>
        <v>7.1846496000000002</v>
      </c>
    </row>
    <row r="72" spans="1:9" ht="19.5" customHeight="1" x14ac:dyDescent="0.3">
      <c r="A72" s="76" t="s">
        <v>76</v>
      </c>
      <c r="B72" s="573" t="s">
        <v>329</v>
      </c>
      <c r="C72" s="573"/>
      <c r="D72" s="573"/>
      <c r="E72" s="573"/>
      <c r="F72" s="573"/>
      <c r="G72" s="573"/>
      <c r="H72" s="573"/>
      <c r="I72" s="93">
        <v>75</v>
      </c>
    </row>
    <row r="73" spans="1:9" ht="18.75" customHeight="1" x14ac:dyDescent="0.3">
      <c r="A73" s="574" t="s">
        <v>75</v>
      </c>
      <c r="B73" s="574"/>
      <c r="C73" s="574"/>
      <c r="D73" s="574"/>
      <c r="E73" s="574"/>
      <c r="F73" s="574"/>
      <c r="G73" s="574"/>
      <c r="H73" s="574"/>
      <c r="I73" s="83">
        <f>SUM(I61:I72)</f>
        <v>824.91464960000008</v>
      </c>
    </row>
    <row r="74" spans="1:9" ht="18.75" customHeight="1" x14ac:dyDescent="0.35">
      <c r="A74" s="604"/>
      <c r="B74" s="604"/>
      <c r="C74" s="604"/>
      <c r="D74" s="604"/>
      <c r="E74" s="604"/>
      <c r="F74" s="604"/>
      <c r="G74" s="604"/>
      <c r="H74" s="604"/>
      <c r="I74" s="604"/>
    </row>
    <row r="75" spans="1:9" ht="18.75" customHeight="1" x14ac:dyDescent="0.3">
      <c r="A75" s="587" t="s">
        <v>234</v>
      </c>
      <c r="B75" s="587"/>
      <c r="C75" s="587"/>
      <c r="D75" s="587"/>
      <c r="E75" s="587"/>
      <c r="F75" s="587"/>
      <c r="G75" s="587"/>
      <c r="H75" s="587"/>
      <c r="I75" s="587"/>
    </row>
    <row r="76" spans="1:9" ht="19.5" customHeight="1" x14ac:dyDescent="0.3">
      <c r="A76" s="75">
        <v>2</v>
      </c>
      <c r="B76" s="616" t="s">
        <v>117</v>
      </c>
      <c r="C76" s="616"/>
      <c r="D76" s="616"/>
      <c r="E76" s="616"/>
      <c r="F76" s="616"/>
      <c r="G76" s="616"/>
      <c r="H76" s="616"/>
      <c r="I76" s="75" t="s">
        <v>85</v>
      </c>
    </row>
    <row r="77" spans="1:9" ht="19.5" customHeight="1" x14ac:dyDescent="0.3">
      <c r="A77" s="67" t="s">
        <v>82</v>
      </c>
      <c r="B77" s="568" t="s">
        <v>118</v>
      </c>
      <c r="C77" s="568"/>
      <c r="D77" s="568"/>
      <c r="E77" s="568"/>
      <c r="F77" s="568"/>
      <c r="G77" s="568"/>
      <c r="H77" s="568"/>
      <c r="I77" s="93">
        <f>I45</f>
        <v>254.62</v>
      </c>
    </row>
    <row r="78" spans="1:9" ht="19.5" customHeight="1" x14ac:dyDescent="0.3">
      <c r="A78" s="67" t="s">
        <v>89</v>
      </c>
      <c r="B78" s="568" t="s">
        <v>90</v>
      </c>
      <c r="C78" s="568"/>
      <c r="D78" s="568"/>
      <c r="E78" s="568"/>
      <c r="F78" s="568"/>
      <c r="G78" s="568"/>
      <c r="H78" s="568"/>
      <c r="I78" s="93">
        <f>I57</f>
        <v>893.43000000000006</v>
      </c>
    </row>
    <row r="79" spans="1:9" ht="19.5" customHeight="1" x14ac:dyDescent="0.3">
      <c r="A79" s="67" t="s">
        <v>104</v>
      </c>
      <c r="B79" s="568" t="s">
        <v>105</v>
      </c>
      <c r="C79" s="568"/>
      <c r="D79" s="568"/>
      <c r="E79" s="568"/>
      <c r="F79" s="568"/>
      <c r="G79" s="568"/>
      <c r="H79" s="568"/>
      <c r="I79" s="93">
        <f>I73</f>
        <v>824.91464960000008</v>
      </c>
    </row>
    <row r="80" spans="1:9" ht="19.5" customHeight="1" x14ac:dyDescent="0.3">
      <c r="A80" s="580" t="s">
        <v>75</v>
      </c>
      <c r="B80" s="580"/>
      <c r="C80" s="580"/>
      <c r="D80" s="580"/>
      <c r="E80" s="580"/>
      <c r="F80" s="580"/>
      <c r="G80" s="580"/>
      <c r="H80" s="580"/>
      <c r="I80" s="99">
        <f>SUM(I77+I78+I79)</f>
        <v>1972.9646496000003</v>
      </c>
    </row>
    <row r="81" spans="1:10" ht="18.75" customHeight="1" x14ac:dyDescent="0.35">
      <c r="A81" s="604"/>
      <c r="B81" s="604"/>
      <c r="C81" s="604"/>
      <c r="D81" s="604"/>
      <c r="E81" s="604"/>
      <c r="F81" s="604"/>
      <c r="G81" s="604"/>
      <c r="H81" s="604"/>
      <c r="I81" s="604"/>
    </row>
    <row r="82" spans="1:10" ht="19.5" customHeight="1" x14ac:dyDescent="0.3">
      <c r="A82" s="577" t="s">
        <v>235</v>
      </c>
      <c r="B82" s="577"/>
      <c r="C82" s="577"/>
      <c r="D82" s="577"/>
      <c r="E82" s="577"/>
      <c r="F82" s="577"/>
      <c r="G82" s="577"/>
      <c r="H82" s="577"/>
      <c r="I82" s="577"/>
    </row>
    <row r="83" spans="1:10" ht="19.5" customHeight="1" x14ac:dyDescent="0.3">
      <c r="A83" s="74">
        <v>3</v>
      </c>
      <c r="B83" s="616" t="s">
        <v>120</v>
      </c>
      <c r="C83" s="616"/>
      <c r="D83" s="616"/>
      <c r="E83" s="616"/>
      <c r="F83" s="616"/>
      <c r="G83" s="616"/>
      <c r="H83" s="616"/>
      <c r="I83" s="74" t="s">
        <v>121</v>
      </c>
    </row>
    <row r="84" spans="1:10" ht="30.75" customHeight="1" x14ac:dyDescent="0.3">
      <c r="A84" s="76" t="s">
        <v>34</v>
      </c>
      <c r="B84" s="605" t="s">
        <v>330</v>
      </c>
      <c r="C84" s="605"/>
      <c r="D84" s="605"/>
      <c r="E84" s="605"/>
      <c r="F84" s="605"/>
      <c r="G84" s="605"/>
      <c r="H84" s="605"/>
      <c r="I84" s="81">
        <f>ROUND(((I33/12)+($I$43/12)+(I33/12/12)+($I$44/12))*(3/30)*0.05,2)</f>
        <v>1.1200000000000001</v>
      </c>
    </row>
    <row r="85" spans="1:10" ht="18.75" customHeight="1" x14ac:dyDescent="0.3">
      <c r="A85" s="76" t="s">
        <v>36</v>
      </c>
      <c r="B85" s="573" t="s">
        <v>123</v>
      </c>
      <c r="C85" s="573"/>
      <c r="D85" s="573"/>
      <c r="E85" s="573"/>
      <c r="F85" s="573"/>
      <c r="G85" s="573"/>
      <c r="H85" s="573"/>
      <c r="I85" s="81">
        <f>ROUND($H$56*I84,2)</f>
        <v>0.09</v>
      </c>
    </row>
    <row r="86" spans="1:10" ht="42" customHeight="1" x14ac:dyDescent="0.3">
      <c r="A86" s="76" t="s">
        <v>38</v>
      </c>
      <c r="B86" s="568" t="s">
        <v>331</v>
      </c>
      <c r="C86" s="568"/>
      <c r="D86" s="568"/>
      <c r="E86" s="568"/>
      <c r="F86" s="568"/>
      <c r="G86" s="568"/>
      <c r="H86" s="568"/>
      <c r="I86" s="81">
        <f>0.00194*I33</f>
        <v>4.3502560000000008</v>
      </c>
    </row>
    <row r="87" spans="1:10" ht="18.75" customHeight="1" x14ac:dyDescent="0.3">
      <c r="A87" s="76" t="s">
        <v>40</v>
      </c>
      <c r="B87" s="573" t="s">
        <v>332</v>
      </c>
      <c r="C87" s="573"/>
      <c r="D87" s="573"/>
      <c r="E87" s="573"/>
      <c r="F87" s="573"/>
      <c r="G87" s="573"/>
      <c r="H87" s="573"/>
      <c r="I87" s="81">
        <f>I86*H57</f>
        <v>1.5565215968000006</v>
      </c>
    </row>
    <row r="88" spans="1:10" ht="54.75" customHeight="1" x14ac:dyDescent="0.3">
      <c r="A88" s="76" t="s">
        <v>73</v>
      </c>
      <c r="B88" s="568" t="s">
        <v>297</v>
      </c>
      <c r="C88" s="568"/>
      <c r="D88" s="568"/>
      <c r="E88" s="568"/>
      <c r="F88" s="568"/>
      <c r="G88" s="568"/>
      <c r="H88" s="77">
        <v>0.04</v>
      </c>
      <c r="I88" s="81">
        <f>ROUND($I$33*H88,2)</f>
        <v>89.7</v>
      </c>
    </row>
    <row r="89" spans="1:10" ht="18.75" customHeight="1" x14ac:dyDescent="0.3">
      <c r="A89" s="574" t="s">
        <v>75</v>
      </c>
      <c r="B89" s="574"/>
      <c r="C89" s="574"/>
      <c r="D89" s="574"/>
      <c r="E89" s="574"/>
      <c r="F89" s="574"/>
      <c r="G89" s="574"/>
      <c r="H89" s="574"/>
      <c r="I89" s="83">
        <f>SUM(I84:I88)</f>
        <v>96.816777596800009</v>
      </c>
    </row>
    <row r="90" spans="1:10" ht="18.75" customHeight="1" x14ac:dyDescent="0.35">
      <c r="A90" s="604"/>
      <c r="B90" s="604"/>
      <c r="C90" s="604"/>
      <c r="D90" s="604"/>
      <c r="E90" s="604"/>
      <c r="F90" s="604"/>
      <c r="G90" s="604"/>
      <c r="H90" s="604"/>
      <c r="I90" s="604"/>
    </row>
    <row r="91" spans="1:10" ht="19.5" customHeight="1" x14ac:dyDescent="0.3">
      <c r="A91" s="577" t="s">
        <v>241</v>
      </c>
      <c r="B91" s="577"/>
      <c r="C91" s="577"/>
      <c r="D91" s="577"/>
      <c r="E91" s="577"/>
      <c r="F91" s="577"/>
      <c r="G91" s="577"/>
      <c r="H91" s="577"/>
      <c r="I91" s="577"/>
    </row>
    <row r="92" spans="1:10" ht="34.5" customHeight="1" x14ac:dyDescent="0.3">
      <c r="A92" s="615" t="s">
        <v>333</v>
      </c>
      <c r="B92" s="615"/>
      <c r="C92" s="615"/>
      <c r="D92" s="615"/>
      <c r="E92" s="615"/>
      <c r="F92" s="615"/>
      <c r="G92" s="615"/>
      <c r="H92" s="615"/>
      <c r="I92" s="99">
        <f>I33+I43+I44+I96</f>
        <v>2700.52</v>
      </c>
    </row>
    <row r="93" spans="1:10" ht="18.75" customHeight="1" x14ac:dyDescent="0.35">
      <c r="A93" s="604"/>
      <c r="B93" s="604"/>
      <c r="C93" s="604"/>
      <c r="D93" s="604"/>
      <c r="E93" s="604"/>
      <c r="F93" s="604"/>
      <c r="G93" s="604"/>
      <c r="H93" s="604"/>
      <c r="I93" s="604"/>
    </row>
    <row r="94" spans="1:10" ht="19.5" customHeight="1" x14ac:dyDescent="0.3">
      <c r="A94" s="586" t="s">
        <v>243</v>
      </c>
      <c r="B94" s="586"/>
      <c r="C94" s="586"/>
      <c r="D94" s="586"/>
      <c r="E94" s="586"/>
      <c r="F94" s="586"/>
      <c r="G94" s="586"/>
      <c r="H94" s="586"/>
      <c r="I94" s="586"/>
      <c r="J94" s="125"/>
    </row>
    <row r="95" spans="1:10" ht="18.75" customHeight="1" x14ac:dyDescent="0.3">
      <c r="A95" s="74" t="s">
        <v>134</v>
      </c>
      <c r="B95" s="582" t="s">
        <v>244</v>
      </c>
      <c r="C95" s="582"/>
      <c r="D95" s="582"/>
      <c r="E95" s="582"/>
      <c r="F95" s="582"/>
      <c r="G95" s="582"/>
      <c r="H95" s="582"/>
      <c r="I95" s="74" t="s">
        <v>85</v>
      </c>
    </row>
    <row r="96" spans="1:10" ht="51.75" customHeight="1" x14ac:dyDescent="0.3">
      <c r="A96" s="76" t="s">
        <v>34</v>
      </c>
      <c r="B96" s="605" t="s">
        <v>245</v>
      </c>
      <c r="C96" s="605"/>
      <c r="D96" s="605"/>
      <c r="E96" s="605"/>
      <c r="F96" s="605"/>
      <c r="G96" s="605"/>
      <c r="H96" s="79">
        <v>9.0749999999999997E-2</v>
      </c>
      <c r="I96" s="81">
        <f>ROUND(I33*H96,2)</f>
        <v>203.5</v>
      </c>
    </row>
    <row r="97" spans="1:10" ht="30.75" customHeight="1" x14ac:dyDescent="0.3">
      <c r="A97" s="76" t="s">
        <v>36</v>
      </c>
      <c r="B97" s="568" t="s">
        <v>246</v>
      </c>
      <c r="C97" s="568"/>
      <c r="D97" s="568"/>
      <c r="E97" s="568"/>
      <c r="F97" s="568"/>
      <c r="G97" s="568"/>
      <c r="H97" s="568"/>
      <c r="I97" s="81">
        <f>ROUND((2.96/30)/12*($I$92),2)</f>
        <v>22.2</v>
      </c>
    </row>
    <row r="98" spans="1:10" ht="30.75" customHeight="1" x14ac:dyDescent="0.3">
      <c r="A98" s="76" t="s">
        <v>38</v>
      </c>
      <c r="B98" s="568" t="s">
        <v>334</v>
      </c>
      <c r="C98" s="568"/>
      <c r="D98" s="568"/>
      <c r="E98" s="568"/>
      <c r="F98" s="568"/>
      <c r="G98" s="568"/>
      <c r="H98" s="568"/>
      <c r="I98" s="81">
        <f>ROUND((5/30)/12*0.015*($I$92),2)</f>
        <v>0.56000000000000005</v>
      </c>
    </row>
    <row r="99" spans="1:10" ht="30.75" customHeight="1" x14ac:dyDescent="0.3">
      <c r="A99" s="76" t="s">
        <v>40</v>
      </c>
      <c r="B99" s="568" t="s">
        <v>248</v>
      </c>
      <c r="C99" s="568"/>
      <c r="D99" s="568"/>
      <c r="E99" s="568"/>
      <c r="F99" s="568"/>
      <c r="G99" s="568"/>
      <c r="H99" s="568"/>
      <c r="I99" s="81">
        <f>ROUND(((15/30)/12)*0.0078*($I$92),2)</f>
        <v>0.88</v>
      </c>
    </row>
    <row r="100" spans="1:10" ht="30.75" customHeight="1" x14ac:dyDescent="0.3">
      <c r="A100" s="76" t="s">
        <v>73</v>
      </c>
      <c r="B100" s="568" t="s">
        <v>335</v>
      </c>
      <c r="C100" s="568"/>
      <c r="D100" s="568"/>
      <c r="E100" s="568"/>
      <c r="F100" s="568"/>
      <c r="G100" s="568"/>
      <c r="H100" s="568"/>
      <c r="I100" s="81">
        <f>ROUND((1+1/3)/12*(4/12)*0.02*(I33),2)</f>
        <v>1.66</v>
      </c>
    </row>
    <row r="101" spans="1:10" ht="30.75" customHeight="1" x14ac:dyDescent="0.3">
      <c r="A101" s="76" t="s">
        <v>76</v>
      </c>
      <c r="B101" s="568" t="s">
        <v>336</v>
      </c>
      <c r="C101" s="568"/>
      <c r="D101" s="568"/>
      <c r="E101" s="568"/>
      <c r="F101" s="568"/>
      <c r="G101" s="568"/>
      <c r="H101" s="568"/>
      <c r="I101" s="91">
        <f>ROUND(((3/30)/12)*($I$92),2)</f>
        <v>22.5</v>
      </c>
    </row>
    <row r="102" spans="1:10" ht="18.75" customHeight="1" x14ac:dyDescent="0.3">
      <c r="A102" s="583" t="s">
        <v>75</v>
      </c>
      <c r="B102" s="583"/>
      <c r="C102" s="583"/>
      <c r="D102" s="583"/>
      <c r="E102" s="583"/>
      <c r="F102" s="583"/>
      <c r="G102" s="583"/>
      <c r="H102" s="583"/>
      <c r="I102" s="81">
        <f>SUM(I96:I101)</f>
        <v>251.29999999999998</v>
      </c>
    </row>
    <row r="103" spans="1:10" ht="18.75" customHeight="1" x14ac:dyDescent="0.3">
      <c r="A103" s="76" t="s">
        <v>99</v>
      </c>
      <c r="B103" s="573" t="s">
        <v>337</v>
      </c>
      <c r="C103" s="573"/>
      <c r="D103" s="573"/>
      <c r="E103" s="573"/>
      <c r="F103" s="573"/>
      <c r="G103" s="573"/>
      <c r="H103" s="573"/>
      <c r="I103" s="81">
        <f>ROUND(H57*I102,2)</f>
        <v>89.92</v>
      </c>
    </row>
    <row r="104" spans="1:10" ht="18.75" customHeight="1" x14ac:dyDescent="0.3">
      <c r="A104" s="574" t="s">
        <v>75</v>
      </c>
      <c r="B104" s="574"/>
      <c r="C104" s="574"/>
      <c r="D104" s="574"/>
      <c r="E104" s="574"/>
      <c r="F104" s="574"/>
      <c r="G104" s="574"/>
      <c r="H104" s="574"/>
      <c r="I104" s="83">
        <f>SUM(I102:I103)</f>
        <v>341.21999999999997</v>
      </c>
    </row>
    <row r="105" spans="1:10" ht="18.75" customHeight="1" x14ac:dyDescent="0.35">
      <c r="A105" s="604"/>
      <c r="B105" s="604"/>
      <c r="C105" s="604"/>
      <c r="D105" s="604"/>
      <c r="E105" s="604"/>
      <c r="F105" s="604"/>
      <c r="G105" s="604"/>
      <c r="H105" s="604"/>
      <c r="I105" s="604"/>
    </row>
    <row r="106" spans="1:10" ht="18.75" customHeight="1" x14ac:dyDescent="0.3">
      <c r="A106" s="581" t="s">
        <v>252</v>
      </c>
      <c r="B106" s="581"/>
      <c r="C106" s="581"/>
      <c r="D106" s="581"/>
      <c r="E106" s="581"/>
      <c r="F106" s="581"/>
      <c r="G106" s="581"/>
      <c r="H106" s="581"/>
      <c r="I106" s="581"/>
    </row>
    <row r="107" spans="1:10" ht="18.75" customHeight="1" x14ac:dyDescent="0.35">
      <c r="A107" s="74" t="s">
        <v>145</v>
      </c>
      <c r="B107" s="582" t="s">
        <v>62</v>
      </c>
      <c r="C107" s="582"/>
      <c r="D107" s="582"/>
      <c r="E107" s="582"/>
      <c r="F107" s="582"/>
      <c r="G107" s="582"/>
      <c r="H107" s="582"/>
      <c r="I107" s="101" t="s">
        <v>85</v>
      </c>
      <c r="J107" s="82"/>
    </row>
    <row r="108" spans="1:10" ht="18.75" customHeight="1" x14ac:dyDescent="0.3">
      <c r="A108" s="76" t="s">
        <v>34</v>
      </c>
      <c r="B108" s="573" t="s">
        <v>253</v>
      </c>
      <c r="C108" s="573"/>
      <c r="D108" s="573"/>
      <c r="E108" s="573"/>
      <c r="F108" s="573"/>
      <c r="G108" s="573"/>
      <c r="H108" s="573"/>
      <c r="I108" s="81">
        <v>0</v>
      </c>
    </row>
    <row r="109" spans="1:10" ht="18.75" customHeight="1" x14ac:dyDescent="0.3">
      <c r="A109" s="583" t="s">
        <v>75</v>
      </c>
      <c r="B109" s="583"/>
      <c r="C109" s="583"/>
      <c r="D109" s="583"/>
      <c r="E109" s="583"/>
      <c r="F109" s="583"/>
      <c r="G109" s="583"/>
      <c r="H109" s="583"/>
      <c r="I109" s="81">
        <v>0</v>
      </c>
    </row>
    <row r="110" spans="1:10" ht="19.5" customHeight="1" x14ac:dyDescent="0.3">
      <c r="A110" s="76" t="s">
        <v>36</v>
      </c>
      <c r="B110" s="568" t="s">
        <v>254</v>
      </c>
      <c r="C110" s="568"/>
      <c r="D110" s="568"/>
      <c r="E110" s="568"/>
      <c r="F110" s="568"/>
      <c r="G110" s="568"/>
      <c r="H110" s="568"/>
      <c r="I110" s="81">
        <f>ROUND(H58*I109,2)</f>
        <v>0</v>
      </c>
    </row>
    <row r="111" spans="1:10" ht="18.75" customHeight="1" x14ac:dyDescent="0.3">
      <c r="A111" s="574" t="s">
        <v>75</v>
      </c>
      <c r="B111" s="574"/>
      <c r="C111" s="574"/>
      <c r="D111" s="574"/>
      <c r="E111" s="574"/>
      <c r="F111" s="574"/>
      <c r="G111" s="574"/>
      <c r="H111" s="574"/>
      <c r="I111" s="83">
        <f>SUM(I109:I110)</f>
        <v>0</v>
      </c>
    </row>
    <row r="112" spans="1:10" ht="18.75" customHeight="1" x14ac:dyDescent="0.35">
      <c r="A112" s="567"/>
      <c r="B112" s="567"/>
      <c r="C112" s="567"/>
      <c r="D112" s="567"/>
      <c r="E112" s="567"/>
      <c r="F112" s="567"/>
      <c r="G112" s="567"/>
      <c r="H112" s="567"/>
      <c r="I112" s="567"/>
    </row>
    <row r="113" spans="1:9" ht="19.5" customHeight="1" x14ac:dyDescent="0.3">
      <c r="A113" s="581" t="s">
        <v>255</v>
      </c>
      <c r="B113" s="581"/>
      <c r="C113" s="581"/>
      <c r="D113" s="581"/>
      <c r="E113" s="581"/>
      <c r="F113" s="581"/>
      <c r="G113" s="581"/>
      <c r="H113" s="581"/>
      <c r="I113" s="581"/>
    </row>
    <row r="114" spans="1:9" ht="19.5" customHeight="1" x14ac:dyDescent="0.3">
      <c r="A114" s="70">
        <v>4</v>
      </c>
      <c r="B114" s="579" t="s">
        <v>149</v>
      </c>
      <c r="C114" s="579"/>
      <c r="D114" s="579"/>
      <c r="E114" s="579"/>
      <c r="F114" s="579"/>
      <c r="G114" s="579"/>
      <c r="H114" s="579"/>
      <c r="I114" s="101" t="s">
        <v>85</v>
      </c>
    </row>
    <row r="115" spans="1:9" ht="19.5" customHeight="1" x14ac:dyDescent="0.3">
      <c r="A115" s="67" t="s">
        <v>134</v>
      </c>
      <c r="B115" s="573" t="s">
        <v>244</v>
      </c>
      <c r="C115" s="573"/>
      <c r="D115" s="573"/>
      <c r="E115" s="573"/>
      <c r="F115" s="573"/>
      <c r="G115" s="573"/>
      <c r="H115" s="573"/>
      <c r="I115" s="81">
        <f>I104</f>
        <v>341.21999999999997</v>
      </c>
    </row>
    <row r="116" spans="1:9" ht="19.5" customHeight="1" x14ac:dyDescent="0.3">
      <c r="A116" s="67" t="s">
        <v>145</v>
      </c>
      <c r="B116" s="573" t="s">
        <v>62</v>
      </c>
      <c r="C116" s="573"/>
      <c r="D116" s="573"/>
      <c r="E116" s="573"/>
      <c r="F116" s="573"/>
      <c r="G116" s="573"/>
      <c r="H116" s="573"/>
      <c r="I116" s="81">
        <f>I111</f>
        <v>0</v>
      </c>
    </row>
    <row r="117" spans="1:9" ht="19.5" customHeight="1" x14ac:dyDescent="0.3">
      <c r="A117" s="580" t="s">
        <v>75</v>
      </c>
      <c r="B117" s="580"/>
      <c r="C117" s="580"/>
      <c r="D117" s="580"/>
      <c r="E117" s="580"/>
      <c r="F117" s="580"/>
      <c r="G117" s="580"/>
      <c r="H117" s="580"/>
      <c r="I117" s="83">
        <f>SUM(I115+I116)</f>
        <v>341.21999999999997</v>
      </c>
    </row>
    <row r="118" spans="1:9" ht="18.75" customHeight="1" x14ac:dyDescent="0.35">
      <c r="A118" s="604"/>
      <c r="B118" s="604"/>
      <c r="C118" s="604"/>
      <c r="D118" s="604"/>
      <c r="E118" s="604"/>
      <c r="F118" s="604"/>
      <c r="G118" s="604"/>
      <c r="H118" s="604"/>
      <c r="I118" s="604"/>
    </row>
    <row r="119" spans="1:9" ht="19.5" customHeight="1" x14ac:dyDescent="0.3">
      <c r="A119" s="577" t="s">
        <v>256</v>
      </c>
      <c r="B119" s="577"/>
      <c r="C119" s="577"/>
      <c r="D119" s="577"/>
      <c r="E119" s="577"/>
      <c r="F119" s="577"/>
      <c r="G119" s="577"/>
      <c r="H119" s="577"/>
      <c r="I119" s="577"/>
    </row>
    <row r="120" spans="1:9" ht="19.5" customHeight="1" x14ac:dyDescent="0.3">
      <c r="A120" s="70">
        <v>3</v>
      </c>
      <c r="B120" s="579" t="s">
        <v>338</v>
      </c>
      <c r="C120" s="579"/>
      <c r="D120" s="579"/>
      <c r="E120" s="579"/>
      <c r="F120" s="579"/>
      <c r="G120" s="579"/>
      <c r="H120" s="579"/>
      <c r="I120" s="102" t="s">
        <v>85</v>
      </c>
    </row>
    <row r="121" spans="1:9" ht="19.5" customHeight="1" x14ac:dyDescent="0.3">
      <c r="A121" s="76" t="s">
        <v>34</v>
      </c>
      <c r="B121" s="568" t="s">
        <v>339</v>
      </c>
      <c r="C121" s="568"/>
      <c r="D121" s="568"/>
      <c r="E121" s="568"/>
      <c r="F121" s="568"/>
      <c r="G121" s="568"/>
      <c r="H121" s="568"/>
      <c r="I121" s="81">
        <f>(I117+I89+I80+I38)*(0.0145)</f>
        <v>69.138195694353612</v>
      </c>
    </row>
    <row r="122" spans="1:9" ht="19.5" customHeight="1" x14ac:dyDescent="0.3">
      <c r="A122" s="76" t="s">
        <v>36</v>
      </c>
      <c r="B122" s="568" t="s">
        <v>155</v>
      </c>
      <c r="C122" s="568"/>
      <c r="D122" s="568"/>
      <c r="E122" s="568"/>
      <c r="F122" s="568"/>
      <c r="G122" s="568"/>
      <c r="H122" s="568"/>
      <c r="I122" s="93" t="s">
        <v>71</v>
      </c>
    </row>
    <row r="123" spans="1:9" ht="19.5" customHeight="1" x14ac:dyDescent="0.3">
      <c r="A123" s="574" t="s">
        <v>75</v>
      </c>
      <c r="B123" s="574"/>
      <c r="C123" s="574"/>
      <c r="D123" s="574"/>
      <c r="E123" s="574"/>
      <c r="F123" s="574"/>
      <c r="G123" s="574"/>
      <c r="H123" s="574"/>
      <c r="I123" s="99">
        <f>ROUND(SUM(I121:I122),2)</f>
        <v>69.14</v>
      </c>
    </row>
    <row r="124" spans="1:9" ht="18.75" customHeight="1" x14ac:dyDescent="0.35">
      <c r="A124" s="604"/>
      <c r="B124" s="604"/>
      <c r="C124" s="604"/>
      <c r="D124" s="604"/>
      <c r="E124" s="604"/>
      <c r="F124" s="604"/>
      <c r="G124" s="604"/>
      <c r="H124" s="604"/>
      <c r="I124" s="604"/>
    </row>
    <row r="125" spans="1:9" ht="19.5" customHeight="1" x14ac:dyDescent="0.3">
      <c r="A125" s="577" t="s">
        <v>340</v>
      </c>
      <c r="B125" s="577"/>
      <c r="C125" s="577"/>
      <c r="D125" s="577"/>
      <c r="E125" s="577"/>
      <c r="F125" s="577"/>
      <c r="G125" s="577"/>
      <c r="H125" s="577"/>
      <c r="I125" s="577"/>
    </row>
    <row r="126" spans="1:9" ht="19.5" customHeight="1" x14ac:dyDescent="0.3">
      <c r="A126" s="70">
        <v>6</v>
      </c>
      <c r="B126" s="579" t="s">
        <v>157</v>
      </c>
      <c r="C126" s="579"/>
      <c r="D126" s="579"/>
      <c r="E126" s="579"/>
      <c r="F126" s="579"/>
      <c r="G126" s="579"/>
      <c r="H126" s="579"/>
      <c r="I126" s="102" t="s">
        <v>85</v>
      </c>
    </row>
    <row r="127" spans="1:9" ht="60.75" customHeight="1" x14ac:dyDescent="0.3">
      <c r="A127" s="605" t="s">
        <v>341</v>
      </c>
      <c r="B127" s="605"/>
      <c r="C127" s="605"/>
      <c r="D127" s="605"/>
      <c r="E127" s="605"/>
      <c r="F127" s="605"/>
      <c r="G127" s="605"/>
      <c r="H127" s="76" t="s">
        <v>164</v>
      </c>
      <c r="I127" s="81">
        <f>SUM(I38+I80+I89+I117+I123)</f>
        <v>4837.2914271968011</v>
      </c>
    </row>
    <row r="128" spans="1:9" ht="18.75" customHeight="1" x14ac:dyDescent="0.3">
      <c r="A128" s="76" t="s">
        <v>34</v>
      </c>
      <c r="B128" s="573" t="s">
        <v>159</v>
      </c>
      <c r="C128" s="573"/>
      <c r="D128" s="573"/>
      <c r="E128" s="573"/>
      <c r="F128" s="573"/>
      <c r="G128" s="573"/>
      <c r="H128" s="84">
        <v>7.1000000000000004E-3</v>
      </c>
      <c r="I128" s="81">
        <f>ROUND(H128*I127,2)</f>
        <v>34.340000000000003</v>
      </c>
    </row>
    <row r="129" spans="1:9" ht="60.75" customHeight="1" x14ac:dyDescent="0.3">
      <c r="A129" s="605" t="s">
        <v>342</v>
      </c>
      <c r="B129" s="605"/>
      <c r="C129" s="605"/>
      <c r="D129" s="605"/>
      <c r="E129" s="605"/>
      <c r="F129" s="605"/>
      <c r="G129" s="605"/>
      <c r="H129" s="107" t="s">
        <v>164</v>
      </c>
      <c r="I129" s="81">
        <f>SUM(I38+I80+I89+I117+I123+I128)</f>
        <v>4871.6314271968013</v>
      </c>
    </row>
    <row r="130" spans="1:9" ht="18.75" customHeight="1" x14ac:dyDescent="0.3">
      <c r="A130" s="76" t="s">
        <v>36</v>
      </c>
      <c r="B130" s="573" t="s">
        <v>161</v>
      </c>
      <c r="C130" s="573"/>
      <c r="D130" s="573"/>
      <c r="E130" s="573"/>
      <c r="F130" s="573"/>
      <c r="G130" s="573"/>
      <c r="H130" s="84">
        <f>H128</f>
        <v>7.1000000000000004E-3</v>
      </c>
      <c r="I130" s="81">
        <f>ROUND(H130*I129,2)</f>
        <v>34.590000000000003</v>
      </c>
    </row>
    <row r="131" spans="1:9" ht="60.75" customHeight="1" x14ac:dyDescent="0.3">
      <c r="A131" s="605" t="s">
        <v>343</v>
      </c>
      <c r="B131" s="605"/>
      <c r="C131" s="605"/>
      <c r="D131" s="605"/>
      <c r="E131" s="605"/>
      <c r="F131" s="605"/>
      <c r="G131" s="605"/>
      <c r="H131" s="107" t="s">
        <v>164</v>
      </c>
      <c r="I131" s="81">
        <f>SUM(I33+I80+I89+I117+I123+I128+I130)</f>
        <v>4791.4714271968014</v>
      </c>
    </row>
    <row r="132" spans="1:9" ht="18.75" customHeight="1" x14ac:dyDescent="0.3">
      <c r="A132" s="588" t="s">
        <v>38</v>
      </c>
      <c r="B132" s="573" t="s">
        <v>163</v>
      </c>
      <c r="C132" s="573"/>
      <c r="D132" s="573"/>
      <c r="E132" s="573"/>
      <c r="F132" s="573"/>
      <c r="G132" s="573"/>
      <c r="H132" s="77" t="s">
        <v>164</v>
      </c>
      <c r="I132" s="90" t="s">
        <v>164</v>
      </c>
    </row>
    <row r="133" spans="1:9" ht="18.75" customHeight="1" x14ac:dyDescent="0.3">
      <c r="A133" s="588"/>
      <c r="B133" s="573" t="s">
        <v>344</v>
      </c>
      <c r="C133" s="573"/>
      <c r="D133" s="573"/>
      <c r="E133" s="573"/>
      <c r="F133" s="573"/>
      <c r="G133" s="573"/>
      <c r="H133" s="77" t="s">
        <v>164</v>
      </c>
      <c r="I133" s="90" t="s">
        <v>164</v>
      </c>
    </row>
    <row r="134" spans="1:9" ht="19.5" customHeight="1" x14ac:dyDescent="0.3">
      <c r="A134" s="588"/>
      <c r="B134" s="589" t="s">
        <v>345</v>
      </c>
      <c r="C134" s="589"/>
      <c r="D134" s="589"/>
      <c r="E134" s="589"/>
      <c r="F134" s="589"/>
      <c r="G134" s="589"/>
      <c r="H134" s="108">
        <v>0.03</v>
      </c>
      <c r="I134" s="91">
        <f>ROUND(($I$131/(1-$H$143))*H134,2)</f>
        <v>157.36000000000001</v>
      </c>
    </row>
    <row r="135" spans="1:9" ht="19.5" customHeight="1" x14ac:dyDescent="0.3">
      <c r="A135" s="588"/>
      <c r="B135" s="589" t="s">
        <v>346</v>
      </c>
      <c r="C135" s="589"/>
      <c r="D135" s="589"/>
      <c r="E135" s="589"/>
      <c r="F135" s="589"/>
      <c r="G135" s="589"/>
      <c r="H135" s="108">
        <v>6.4999999999999997E-3</v>
      </c>
      <c r="I135" s="91">
        <f>ROUND(($I$131/(1-$H$143))*H135,2)</f>
        <v>34.090000000000003</v>
      </c>
    </row>
    <row r="136" spans="1:9" ht="31.5" customHeight="1" x14ac:dyDescent="0.3">
      <c r="A136" s="588"/>
      <c r="B136" s="605" t="s">
        <v>264</v>
      </c>
      <c r="C136" s="605"/>
      <c r="D136" s="605"/>
      <c r="E136" s="605"/>
      <c r="F136" s="605"/>
      <c r="G136" s="605"/>
      <c r="H136" s="98" t="s">
        <v>164</v>
      </c>
      <c r="I136" s="90" t="s">
        <v>164</v>
      </c>
    </row>
    <row r="137" spans="1:9" ht="31.5" customHeight="1" x14ac:dyDescent="0.3">
      <c r="A137" s="588"/>
      <c r="B137" s="605" t="s">
        <v>265</v>
      </c>
      <c r="C137" s="605"/>
      <c r="D137" s="605"/>
      <c r="E137" s="605"/>
      <c r="F137" s="605"/>
      <c r="G137" s="605"/>
      <c r="H137" s="98" t="s">
        <v>164</v>
      </c>
      <c r="I137" s="90" t="s">
        <v>164</v>
      </c>
    </row>
    <row r="138" spans="1:9" ht="19.5" customHeight="1" x14ac:dyDescent="0.3">
      <c r="A138" s="588"/>
      <c r="B138" s="568" t="s">
        <v>347</v>
      </c>
      <c r="C138" s="568"/>
      <c r="D138" s="568"/>
      <c r="E138" s="568"/>
      <c r="F138" s="568"/>
      <c r="G138" s="568"/>
      <c r="H138" s="98" t="s">
        <v>164</v>
      </c>
      <c r="I138" s="90" t="s">
        <v>164</v>
      </c>
    </row>
    <row r="139" spans="1:9" ht="19.5" customHeight="1" x14ac:dyDescent="0.3">
      <c r="A139" s="588"/>
      <c r="B139" s="568" t="s">
        <v>348</v>
      </c>
      <c r="C139" s="568"/>
      <c r="D139" s="568"/>
      <c r="E139" s="568"/>
      <c r="F139" s="568"/>
      <c r="G139" s="568"/>
      <c r="H139" s="98" t="s">
        <v>164</v>
      </c>
      <c r="I139" s="90" t="s">
        <v>164</v>
      </c>
    </row>
    <row r="140" spans="1:9" ht="19.5" customHeight="1" x14ac:dyDescent="0.3">
      <c r="A140" s="588"/>
      <c r="B140" s="568" t="s">
        <v>349</v>
      </c>
      <c r="C140" s="568"/>
      <c r="D140" s="568"/>
      <c r="E140" s="568"/>
      <c r="F140" s="568"/>
      <c r="G140" s="568"/>
      <c r="H140" s="108">
        <v>0.05</v>
      </c>
      <c r="I140" s="91">
        <f>ROUND(($I$131/(1-$H$143))*H140,2)</f>
        <v>262.26</v>
      </c>
    </row>
    <row r="141" spans="1:9" ht="18.75" customHeight="1" x14ac:dyDescent="0.3">
      <c r="A141" s="574" t="s">
        <v>350</v>
      </c>
      <c r="B141" s="574"/>
      <c r="C141" s="574"/>
      <c r="D141" s="574"/>
      <c r="E141" s="574"/>
      <c r="F141" s="574"/>
      <c r="G141" s="574"/>
      <c r="H141" s="574"/>
      <c r="I141" s="83">
        <f>SUM(I128+I130+I134+I135+I140)</f>
        <v>522.64</v>
      </c>
    </row>
    <row r="142" spans="1:9" ht="18.75" customHeight="1" x14ac:dyDescent="0.35">
      <c r="A142" s="604"/>
      <c r="B142" s="604"/>
      <c r="C142" s="604"/>
      <c r="D142" s="604"/>
      <c r="E142" s="604"/>
      <c r="F142" s="604"/>
      <c r="G142" s="604"/>
      <c r="H142" s="604"/>
      <c r="I142" s="604"/>
    </row>
    <row r="143" spans="1:9" ht="19.5" customHeight="1" x14ac:dyDescent="0.3">
      <c r="A143" s="575" t="s">
        <v>170</v>
      </c>
      <c r="B143" s="575"/>
      <c r="C143" s="575"/>
      <c r="D143" s="575"/>
      <c r="E143" s="575"/>
      <c r="F143" s="575"/>
      <c r="G143" s="575"/>
      <c r="H143" s="84">
        <f>SUM(H134:H140)</f>
        <v>8.6499999999999994E-2</v>
      </c>
      <c r="I143" s="81">
        <f>SUM(I134:I140)</f>
        <v>453.71000000000004</v>
      </c>
    </row>
    <row r="144" spans="1:9" ht="18.75" customHeight="1" x14ac:dyDescent="0.3">
      <c r="A144" s="610" t="s">
        <v>171</v>
      </c>
      <c r="B144" s="610"/>
      <c r="C144" s="611" t="s">
        <v>351</v>
      </c>
      <c r="D144" s="611"/>
      <c r="E144" s="611"/>
      <c r="F144" s="611"/>
      <c r="G144" s="611"/>
      <c r="H144" s="611"/>
      <c r="I144" s="611"/>
    </row>
    <row r="145" spans="1:9" ht="18.75" customHeight="1" x14ac:dyDescent="0.3">
      <c r="A145" s="610"/>
      <c r="B145" s="610"/>
      <c r="C145" s="612" t="s">
        <v>352</v>
      </c>
      <c r="D145" s="612"/>
      <c r="E145" s="612"/>
      <c r="F145" s="612"/>
      <c r="G145" s="612"/>
      <c r="H145" s="612"/>
      <c r="I145" s="612"/>
    </row>
    <row r="146" spans="1:9" ht="18.75" customHeight="1" x14ac:dyDescent="0.3">
      <c r="A146" s="610"/>
      <c r="B146" s="610"/>
      <c r="C146" s="613" t="s">
        <v>353</v>
      </c>
      <c r="D146" s="613"/>
      <c r="E146" s="613"/>
      <c r="F146" s="613"/>
      <c r="G146" s="613"/>
      <c r="H146" s="613"/>
      <c r="I146" s="613"/>
    </row>
    <row r="147" spans="1:9" ht="18.75" customHeight="1" x14ac:dyDescent="0.35">
      <c r="A147" s="614"/>
      <c r="B147" s="614"/>
      <c r="C147" s="614"/>
      <c r="D147" s="614"/>
      <c r="E147" s="614"/>
      <c r="F147" s="614"/>
      <c r="G147" s="614"/>
      <c r="H147" s="614"/>
      <c r="I147" s="614"/>
    </row>
    <row r="148" spans="1:9" ht="19.5" customHeight="1" x14ac:dyDescent="0.3">
      <c r="A148" s="570" t="s">
        <v>302</v>
      </c>
      <c r="B148" s="570"/>
      <c r="C148" s="570"/>
      <c r="D148" s="570"/>
      <c r="E148" s="570"/>
      <c r="F148" s="570"/>
      <c r="G148" s="570"/>
      <c r="H148" s="570"/>
      <c r="I148" s="570"/>
    </row>
    <row r="149" spans="1:9" ht="19.5" customHeight="1" x14ac:dyDescent="0.3">
      <c r="A149" s="571" t="s">
        <v>269</v>
      </c>
      <c r="B149" s="571"/>
      <c r="C149" s="571"/>
      <c r="D149" s="571"/>
      <c r="E149" s="571"/>
      <c r="F149" s="571"/>
      <c r="G149" s="571"/>
      <c r="H149" s="571"/>
      <c r="I149" s="100" t="s">
        <v>85</v>
      </c>
    </row>
    <row r="150" spans="1:9" ht="19.5" customHeight="1" x14ac:dyDescent="0.3">
      <c r="A150" s="109" t="s">
        <v>34</v>
      </c>
      <c r="B150" s="568" t="s">
        <v>354</v>
      </c>
      <c r="C150" s="568"/>
      <c r="D150" s="568"/>
      <c r="E150" s="568"/>
      <c r="F150" s="568"/>
      <c r="G150" s="568"/>
      <c r="H150" s="568"/>
      <c r="I150" s="93">
        <f>I38</f>
        <v>2357.15</v>
      </c>
    </row>
    <row r="151" spans="1:9" ht="19.5" customHeight="1" x14ac:dyDescent="0.3">
      <c r="A151" s="109" t="s">
        <v>36</v>
      </c>
      <c r="B151" s="568" t="s">
        <v>80</v>
      </c>
      <c r="C151" s="568"/>
      <c r="D151" s="568"/>
      <c r="E151" s="568"/>
      <c r="F151" s="568"/>
      <c r="G151" s="568"/>
      <c r="H151" s="568"/>
      <c r="I151" s="93">
        <f>I80</f>
        <v>1972.9646496000003</v>
      </c>
    </row>
    <row r="152" spans="1:9" ht="19.5" customHeight="1" x14ac:dyDescent="0.3">
      <c r="A152" s="109" t="s">
        <v>38</v>
      </c>
      <c r="B152" s="568" t="s">
        <v>178</v>
      </c>
      <c r="C152" s="568"/>
      <c r="D152" s="568"/>
      <c r="E152" s="568"/>
      <c r="F152" s="568"/>
      <c r="G152" s="568"/>
      <c r="H152" s="568"/>
      <c r="I152" s="93">
        <f>I89</f>
        <v>96.816777596800009</v>
      </c>
    </row>
    <row r="153" spans="1:9" ht="19.5" customHeight="1" x14ac:dyDescent="0.3">
      <c r="A153" s="109" t="s">
        <v>40</v>
      </c>
      <c r="B153" s="568" t="s">
        <v>179</v>
      </c>
      <c r="C153" s="568"/>
      <c r="D153" s="568"/>
      <c r="E153" s="568"/>
      <c r="F153" s="568"/>
      <c r="G153" s="568"/>
      <c r="H153" s="568"/>
      <c r="I153" s="93">
        <f>I117</f>
        <v>341.21999999999997</v>
      </c>
    </row>
    <row r="154" spans="1:9" ht="19.5" customHeight="1" x14ac:dyDescent="0.3">
      <c r="A154" s="109" t="s">
        <v>73</v>
      </c>
      <c r="B154" s="568" t="s">
        <v>180</v>
      </c>
      <c r="C154" s="568"/>
      <c r="D154" s="568"/>
      <c r="E154" s="568"/>
      <c r="F154" s="568"/>
      <c r="G154" s="568"/>
      <c r="H154" s="568"/>
      <c r="I154" s="93">
        <f>I123</f>
        <v>69.14</v>
      </c>
    </row>
    <row r="155" spans="1:9" ht="19.5" customHeight="1" x14ac:dyDescent="0.3">
      <c r="A155" s="608" t="s">
        <v>181</v>
      </c>
      <c r="B155" s="608"/>
      <c r="C155" s="608"/>
      <c r="D155" s="608"/>
      <c r="E155" s="608"/>
      <c r="F155" s="608"/>
      <c r="G155" s="608"/>
      <c r="H155" s="608"/>
      <c r="I155" s="126">
        <f>SUM(I150:I154)</f>
        <v>4837.2914271968011</v>
      </c>
    </row>
    <row r="156" spans="1:9" ht="19.5" customHeight="1" x14ac:dyDescent="0.3">
      <c r="A156" s="127" t="s">
        <v>76</v>
      </c>
      <c r="B156" s="609" t="s">
        <v>182</v>
      </c>
      <c r="C156" s="609"/>
      <c r="D156" s="609"/>
      <c r="E156" s="609"/>
      <c r="F156" s="609"/>
      <c r="G156" s="609"/>
      <c r="H156" s="609"/>
      <c r="I156" s="93">
        <f>I141</f>
        <v>522.64</v>
      </c>
    </row>
    <row r="157" spans="1:9" ht="19.5" customHeight="1" x14ac:dyDescent="0.3">
      <c r="A157" s="566" t="s">
        <v>183</v>
      </c>
      <c r="B157" s="566"/>
      <c r="C157" s="566"/>
      <c r="D157" s="566"/>
      <c r="E157" s="566"/>
      <c r="F157" s="566"/>
      <c r="G157" s="566"/>
      <c r="H157" s="566"/>
      <c r="I157" s="110">
        <f>I155+I156</f>
        <v>5359.9314271968015</v>
      </c>
    </row>
    <row r="158" spans="1:9" ht="19.5" customHeight="1" x14ac:dyDescent="0.3">
      <c r="A158" s="607" t="s">
        <v>355</v>
      </c>
      <c r="B158" s="607"/>
      <c r="C158" s="607"/>
      <c r="D158" s="607"/>
      <c r="E158" s="607"/>
      <c r="F158" s="607"/>
      <c r="G158" s="607"/>
      <c r="H158" s="607"/>
      <c r="I158" s="607"/>
    </row>
    <row r="159" spans="1:9" ht="18.75" customHeight="1" x14ac:dyDescent="0.35">
      <c r="A159" s="604"/>
      <c r="B159" s="604"/>
      <c r="C159" s="604"/>
      <c r="D159" s="604"/>
      <c r="E159" s="604"/>
      <c r="F159" s="604"/>
      <c r="G159" s="604"/>
      <c r="H159" s="604"/>
      <c r="I159" s="604"/>
    </row>
    <row r="160" spans="1:9" ht="18.75" customHeight="1" x14ac:dyDescent="0.35">
      <c r="A160" s="567"/>
      <c r="B160" s="567"/>
      <c r="C160" s="567"/>
      <c r="D160" s="567"/>
      <c r="E160" s="567"/>
      <c r="F160" s="567"/>
      <c r="G160" s="567"/>
      <c r="H160" s="567"/>
      <c r="I160" s="567"/>
    </row>
    <row r="161" spans="1:9" ht="19.5" customHeight="1" x14ac:dyDescent="0.3">
      <c r="A161" s="570" t="s">
        <v>356</v>
      </c>
      <c r="B161" s="570"/>
      <c r="C161" s="570"/>
      <c r="D161" s="570"/>
      <c r="E161" s="570"/>
      <c r="F161" s="570"/>
      <c r="G161" s="570"/>
      <c r="H161" s="570"/>
      <c r="I161" s="570"/>
    </row>
    <row r="162" spans="1:9" ht="34.5" customHeight="1" x14ac:dyDescent="0.3">
      <c r="A162" s="577" t="s">
        <v>357</v>
      </c>
      <c r="B162" s="577"/>
      <c r="C162" s="577"/>
      <c r="D162" s="577"/>
      <c r="E162" s="577" t="s">
        <v>358</v>
      </c>
      <c r="F162" s="577"/>
      <c r="G162" s="69" t="s">
        <v>359</v>
      </c>
      <c r="H162" s="577" t="s">
        <v>360</v>
      </c>
      <c r="I162" s="577"/>
    </row>
    <row r="163" spans="1:9" ht="48" customHeight="1" x14ac:dyDescent="0.3">
      <c r="A163" s="605" t="s">
        <v>361</v>
      </c>
      <c r="B163" s="605"/>
      <c r="C163" s="605"/>
      <c r="D163" s="605"/>
      <c r="E163" s="603">
        <f>I157</f>
        <v>5359.9314271968015</v>
      </c>
      <c r="F163" s="603"/>
      <c r="G163" s="128">
        <v>1</v>
      </c>
      <c r="H163" s="603">
        <f>E163</f>
        <v>5359.9314271968015</v>
      </c>
      <c r="I163" s="603"/>
    </row>
    <row r="164" spans="1:9" ht="40.5" customHeight="1" x14ac:dyDescent="0.3">
      <c r="A164" s="602" t="s">
        <v>155</v>
      </c>
      <c r="B164" s="602"/>
      <c r="C164" s="602"/>
      <c r="D164" s="602"/>
      <c r="E164" s="603">
        <v>0</v>
      </c>
      <c r="F164" s="603"/>
      <c r="G164" s="128">
        <f>D164*F164</f>
        <v>0</v>
      </c>
      <c r="H164" s="603">
        <f>E164*G164</f>
        <v>0</v>
      </c>
      <c r="I164" s="603"/>
    </row>
    <row r="165" spans="1:9" ht="19.5" customHeight="1" x14ac:dyDescent="0.3">
      <c r="A165" s="583" t="s">
        <v>350</v>
      </c>
      <c r="B165" s="583"/>
      <c r="C165" s="583"/>
      <c r="D165" s="583"/>
      <c r="E165" s="583"/>
      <c r="F165" s="583"/>
      <c r="G165" s="128">
        <v>1</v>
      </c>
      <c r="H165" s="603">
        <f>SUM(H163:I164)</f>
        <v>5359.9314271968015</v>
      </c>
      <c r="I165" s="603"/>
    </row>
    <row r="166" spans="1:9" ht="18.75" customHeight="1" x14ac:dyDescent="0.35">
      <c r="A166" s="604"/>
      <c r="B166" s="604"/>
      <c r="C166" s="604"/>
      <c r="D166" s="604"/>
      <c r="E166" s="604"/>
      <c r="F166" s="604"/>
      <c r="G166" s="604"/>
      <c r="H166" s="604"/>
      <c r="I166" s="604"/>
    </row>
    <row r="167" spans="1:9" ht="19.5" customHeight="1" x14ac:dyDescent="0.3">
      <c r="A167" s="605" t="s">
        <v>188</v>
      </c>
      <c r="B167" s="605"/>
      <c r="C167" s="605"/>
      <c r="D167" s="605"/>
      <c r="E167" s="605"/>
      <c r="F167" s="605"/>
      <c r="G167" s="606">
        <f>H165</f>
        <v>5359.9314271968015</v>
      </c>
      <c r="H167" s="606"/>
      <c r="I167" s="606"/>
    </row>
    <row r="169" spans="1:9" ht="19.5" customHeight="1" x14ac:dyDescent="0.3"/>
    <row r="171" spans="1:9" ht="19.5" customHeight="1" x14ac:dyDescent="0.3"/>
  </sheetData>
  <mergeCells count="222">
    <mergeCell ref="A1:I1"/>
    <mergeCell ref="A2:I2"/>
    <mergeCell ref="A3:I3"/>
    <mergeCell ref="A4:I4"/>
    <mergeCell ref="A5:I5"/>
    <mergeCell ref="A6:I6"/>
    <mergeCell ref="B7:G7"/>
    <mergeCell ref="H7:I7"/>
    <mergeCell ref="B8:G8"/>
    <mergeCell ref="H8:I8"/>
    <mergeCell ref="B9:G9"/>
    <mergeCell ref="H9:I9"/>
    <mergeCell ref="B10:G10"/>
    <mergeCell ref="H10:I10"/>
    <mergeCell ref="A11:I11"/>
    <mergeCell ref="A12:I12"/>
    <mergeCell ref="A13:I13"/>
    <mergeCell ref="A14:I14"/>
    <mergeCell ref="B15:G15"/>
    <mergeCell ref="H15:I15"/>
    <mergeCell ref="B16:G16"/>
    <mergeCell ref="H16:I16"/>
    <mergeCell ref="B17:G17"/>
    <mergeCell ref="H17:I17"/>
    <mergeCell ref="B18:G18"/>
    <mergeCell ref="H18:I18"/>
    <mergeCell ref="B19:G19"/>
    <mergeCell ref="H19:I19"/>
    <mergeCell ref="R19:Y19"/>
    <mergeCell ref="EP19:EW19"/>
    <mergeCell ref="EX19:FE19"/>
    <mergeCell ref="FF19:FM19"/>
    <mergeCell ref="Z19:AG19"/>
    <mergeCell ref="AH19:AO19"/>
    <mergeCell ref="AP19:AW19"/>
    <mergeCell ref="AX19:BE19"/>
    <mergeCell ref="BF19:BM19"/>
    <mergeCell ref="BN19:BU19"/>
    <mergeCell ref="BV19:CC19"/>
    <mergeCell ref="CD19:CK19"/>
    <mergeCell ref="CL19:CS19"/>
    <mergeCell ref="IH19:IO19"/>
    <mergeCell ref="A20:I20"/>
    <mergeCell ref="A21:I21"/>
    <mergeCell ref="B22:G22"/>
    <mergeCell ref="H22:I22"/>
    <mergeCell ref="B23:G23"/>
    <mergeCell ref="H23:I23"/>
    <mergeCell ref="B24:G24"/>
    <mergeCell ref="H24:I24"/>
    <mergeCell ref="FN19:FU19"/>
    <mergeCell ref="FV19:GC19"/>
    <mergeCell ref="GD19:GK19"/>
    <mergeCell ref="GL19:GS19"/>
    <mergeCell ref="GT19:HA19"/>
    <mergeCell ref="HB19:HI19"/>
    <mergeCell ref="HJ19:HQ19"/>
    <mergeCell ref="HR19:HY19"/>
    <mergeCell ref="HZ19:IG19"/>
    <mergeCell ref="CT19:DA19"/>
    <mergeCell ref="DB19:DI19"/>
    <mergeCell ref="DJ19:DQ19"/>
    <mergeCell ref="DR19:DY19"/>
    <mergeCell ref="DZ19:EG19"/>
    <mergeCell ref="EH19:EO19"/>
    <mergeCell ref="B25:G25"/>
    <mergeCell ref="H25:I25"/>
    <mergeCell ref="B26:G26"/>
    <mergeCell ref="H26:I26"/>
    <mergeCell ref="B27:G27"/>
    <mergeCell ref="H27:I27"/>
    <mergeCell ref="A28:I28"/>
    <mergeCell ref="A29:I29"/>
    <mergeCell ref="B30:G30"/>
    <mergeCell ref="B31:H31"/>
    <mergeCell ref="B32:H32"/>
    <mergeCell ref="A33:H33"/>
    <mergeCell ref="A34:I34"/>
    <mergeCell ref="B35:H35"/>
    <mergeCell ref="A36:H36"/>
    <mergeCell ref="A37:I37"/>
    <mergeCell ref="A38:H38"/>
    <mergeCell ref="A39:I39"/>
    <mergeCell ref="A40:I40"/>
    <mergeCell ref="A41:I41"/>
    <mergeCell ref="B42:H42"/>
    <mergeCell ref="B43:G43"/>
    <mergeCell ref="B44:G44"/>
    <mergeCell ref="A45:H45"/>
    <mergeCell ref="A46:I46"/>
    <mergeCell ref="A47:I47"/>
    <mergeCell ref="B48:G48"/>
    <mergeCell ref="B49:G49"/>
    <mergeCell ref="B50:G50"/>
    <mergeCell ref="B51:C51"/>
    <mergeCell ref="B52:G52"/>
    <mergeCell ref="B53:G53"/>
    <mergeCell ref="B54:G54"/>
    <mergeCell ref="B55:G55"/>
    <mergeCell ref="B56:G56"/>
    <mergeCell ref="A57:G57"/>
    <mergeCell ref="A59:I59"/>
    <mergeCell ref="B60:H60"/>
    <mergeCell ref="A61:A65"/>
    <mergeCell ref="B61:H61"/>
    <mergeCell ref="B62:G62"/>
    <mergeCell ref="B63:G63"/>
    <mergeCell ref="B64:G64"/>
    <mergeCell ref="B65:G65"/>
    <mergeCell ref="A66:A69"/>
    <mergeCell ref="B66:H66"/>
    <mergeCell ref="B67:G67"/>
    <mergeCell ref="B68:G68"/>
    <mergeCell ref="B69:G69"/>
    <mergeCell ref="B70:H70"/>
    <mergeCell ref="B71:H71"/>
    <mergeCell ref="B72:H72"/>
    <mergeCell ref="A73:H73"/>
    <mergeCell ref="A74:I74"/>
    <mergeCell ref="A75:I75"/>
    <mergeCell ref="B76:H76"/>
    <mergeCell ref="B77:H77"/>
    <mergeCell ref="B78:H78"/>
    <mergeCell ref="B79:H79"/>
    <mergeCell ref="A80:H80"/>
    <mergeCell ref="A81:I81"/>
    <mergeCell ref="A82:I82"/>
    <mergeCell ref="B83:H83"/>
    <mergeCell ref="B84:H84"/>
    <mergeCell ref="B85:H85"/>
    <mergeCell ref="B86:H86"/>
    <mergeCell ref="B87:H87"/>
    <mergeCell ref="B88:G88"/>
    <mergeCell ref="A89:H89"/>
    <mergeCell ref="A90:I90"/>
    <mergeCell ref="A91:I91"/>
    <mergeCell ref="A92:H92"/>
    <mergeCell ref="A93:I93"/>
    <mergeCell ref="A94:I94"/>
    <mergeCell ref="B95:H95"/>
    <mergeCell ref="B96:G96"/>
    <mergeCell ref="B97:H97"/>
    <mergeCell ref="B98:H98"/>
    <mergeCell ref="B99:H99"/>
    <mergeCell ref="B100:H100"/>
    <mergeCell ref="B101:H101"/>
    <mergeCell ref="A102:H102"/>
    <mergeCell ref="B103:H103"/>
    <mergeCell ref="A104:H104"/>
    <mergeCell ref="A105:I105"/>
    <mergeCell ref="A106:I106"/>
    <mergeCell ref="B107:H107"/>
    <mergeCell ref="B108:H108"/>
    <mergeCell ref="A109:H109"/>
    <mergeCell ref="B110:H110"/>
    <mergeCell ref="A111:H111"/>
    <mergeCell ref="A112:I112"/>
    <mergeCell ref="A113:I113"/>
    <mergeCell ref="B114:H114"/>
    <mergeCell ref="B115:H115"/>
    <mergeCell ref="B116:H116"/>
    <mergeCell ref="A117:H117"/>
    <mergeCell ref="A118:I118"/>
    <mergeCell ref="A119:I119"/>
    <mergeCell ref="B120:H120"/>
    <mergeCell ref="B121:H121"/>
    <mergeCell ref="B122:H122"/>
    <mergeCell ref="A123:H123"/>
    <mergeCell ref="A124:I124"/>
    <mergeCell ref="A125:I125"/>
    <mergeCell ref="B126:H126"/>
    <mergeCell ref="A127:G127"/>
    <mergeCell ref="B128:G128"/>
    <mergeCell ref="A129:G129"/>
    <mergeCell ref="B130:G130"/>
    <mergeCell ref="A131:G131"/>
    <mergeCell ref="A132:A140"/>
    <mergeCell ref="B132:G132"/>
    <mergeCell ref="B133:G133"/>
    <mergeCell ref="B134:G134"/>
    <mergeCell ref="B135:G135"/>
    <mergeCell ref="B136:G136"/>
    <mergeCell ref="B137:G137"/>
    <mergeCell ref="B138:G138"/>
    <mergeCell ref="B139:G139"/>
    <mergeCell ref="B140:G140"/>
    <mergeCell ref="A141:H141"/>
    <mergeCell ref="A142:I142"/>
    <mergeCell ref="A143:G143"/>
    <mergeCell ref="A144:B146"/>
    <mergeCell ref="C144:I144"/>
    <mergeCell ref="C145:I145"/>
    <mergeCell ref="C146:I146"/>
    <mergeCell ref="A147:I147"/>
    <mergeCell ref="A148:I148"/>
    <mergeCell ref="A149:H149"/>
    <mergeCell ref="B150:H150"/>
    <mergeCell ref="B151:H151"/>
    <mergeCell ref="B152:H152"/>
    <mergeCell ref="B153:H153"/>
    <mergeCell ref="B154:H154"/>
    <mergeCell ref="A155:H155"/>
    <mergeCell ref="B156:H156"/>
    <mergeCell ref="A157:H157"/>
    <mergeCell ref="A164:D164"/>
    <mergeCell ref="E164:F164"/>
    <mergeCell ref="H164:I164"/>
    <mergeCell ref="A165:F165"/>
    <mergeCell ref="H165:I165"/>
    <mergeCell ref="A166:I166"/>
    <mergeCell ref="A167:F167"/>
    <mergeCell ref="G167:I167"/>
    <mergeCell ref="A158:I158"/>
    <mergeCell ref="A159:I159"/>
    <mergeCell ref="A160:I160"/>
    <mergeCell ref="A161:I161"/>
    <mergeCell ref="A162:D162"/>
    <mergeCell ref="E162:F162"/>
    <mergeCell ref="H162:I162"/>
    <mergeCell ref="A163:D163"/>
    <mergeCell ref="E163:F163"/>
    <mergeCell ref="H163:I163"/>
  </mergeCells>
  <printOptions horizontalCentered="1"/>
  <pageMargins left="0.118055555555556" right="0.118055555555556" top="0.196527777777778" bottom="0" header="0.511811023622047" footer="0.511811023622047"/>
  <pageSetup paperSize="9" pageOrder="overThenDown" orientation="portrait" horizontalDpi="300" verticalDpi="300"/>
  <rowBreaks count="2" manualBreakCount="2">
    <brk id="58" max="16383" man="1"/>
    <brk id="12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J172"/>
  <sheetViews>
    <sheetView zoomScaleNormal="100" workbookViewId="0"/>
  </sheetViews>
  <sheetFormatPr defaultColWidth="8.33203125" defaultRowHeight="14.5" x14ac:dyDescent="0.35"/>
  <cols>
    <col min="1" max="1" width="13.83203125" style="82" customWidth="1"/>
    <col min="2" max="2" width="10.08203125" style="82" customWidth="1"/>
    <col min="3" max="3" width="12.08203125" style="82" customWidth="1"/>
    <col min="4" max="4" width="9.25" style="82" customWidth="1"/>
    <col min="5" max="5" width="11.33203125" style="82" customWidth="1"/>
    <col min="6" max="6" width="10.33203125" style="82" customWidth="1"/>
    <col min="7" max="7" width="9" style="82" customWidth="1"/>
    <col min="8" max="8" width="10.33203125" style="82" customWidth="1"/>
    <col min="9" max="9" width="13.25" style="129" customWidth="1"/>
    <col min="10" max="1016" width="8.33203125" style="82"/>
    <col min="1017" max="1017" width="8.83203125" style="82" customWidth="1"/>
    <col min="1018" max="1023" width="8.33203125" style="82"/>
    <col min="1024" max="1024" width="8.83203125" style="82" customWidth="1"/>
  </cols>
  <sheetData>
    <row r="1" spans="1:10" ht="21.75" customHeight="1" x14ac:dyDescent="0.35">
      <c r="A1" s="595" t="s">
        <v>303</v>
      </c>
      <c r="B1" s="595"/>
      <c r="C1" s="595"/>
      <c r="D1" s="595"/>
      <c r="E1" s="595"/>
      <c r="F1" s="595"/>
      <c r="G1" s="595"/>
      <c r="H1" s="595"/>
      <c r="I1" s="595"/>
      <c r="J1" s="66"/>
    </row>
    <row r="2" spans="1:10" ht="19.5" customHeight="1" x14ac:dyDescent="0.35">
      <c r="A2" s="596" t="s">
        <v>30</v>
      </c>
      <c r="B2" s="596"/>
      <c r="C2" s="596"/>
      <c r="D2" s="596"/>
      <c r="E2" s="596"/>
      <c r="F2" s="596"/>
      <c r="G2" s="596"/>
      <c r="H2" s="596"/>
      <c r="I2" s="596"/>
      <c r="J2" s="66"/>
    </row>
    <row r="3" spans="1:10" ht="19.5" customHeight="1" x14ac:dyDescent="0.35">
      <c r="A3" s="596" t="s">
        <v>206</v>
      </c>
      <c r="B3" s="596"/>
      <c r="C3" s="596"/>
      <c r="D3" s="596"/>
      <c r="E3" s="596"/>
      <c r="F3" s="596"/>
      <c r="G3" s="596"/>
      <c r="H3" s="596"/>
      <c r="I3" s="596"/>
      <c r="J3" s="115"/>
    </row>
    <row r="4" spans="1:10" ht="19.5" customHeight="1" x14ac:dyDescent="0.35">
      <c r="A4" s="596" t="s">
        <v>207</v>
      </c>
      <c r="B4" s="596"/>
      <c r="C4" s="596"/>
      <c r="D4" s="596"/>
      <c r="E4" s="596"/>
      <c r="F4" s="596"/>
      <c r="G4" s="596"/>
      <c r="H4" s="596"/>
      <c r="I4" s="596"/>
      <c r="J4" s="115"/>
    </row>
    <row r="5" spans="1:10" ht="18.75" customHeight="1" x14ac:dyDescent="0.35">
      <c r="A5" s="567"/>
      <c r="B5" s="567"/>
      <c r="C5" s="567"/>
      <c r="D5" s="567"/>
      <c r="E5" s="567"/>
      <c r="F5" s="567"/>
      <c r="G5" s="567"/>
      <c r="H5" s="567"/>
      <c r="I5" s="567"/>
      <c r="J5" s="66"/>
    </row>
    <row r="6" spans="1:10" ht="19.5" customHeight="1" x14ac:dyDescent="0.35">
      <c r="A6" s="570" t="s">
        <v>33</v>
      </c>
      <c r="B6" s="570"/>
      <c r="C6" s="570"/>
      <c r="D6" s="570"/>
      <c r="E6" s="570"/>
      <c r="F6" s="570"/>
      <c r="G6" s="570"/>
      <c r="H6" s="570"/>
      <c r="I6" s="570"/>
      <c r="J6" s="66"/>
    </row>
    <row r="7" spans="1:10" ht="19.5" customHeight="1" x14ac:dyDescent="0.35">
      <c r="A7" s="67" t="s">
        <v>34</v>
      </c>
      <c r="B7" s="568" t="s">
        <v>35</v>
      </c>
      <c r="C7" s="568"/>
      <c r="D7" s="568"/>
      <c r="E7" s="568"/>
      <c r="F7" s="568"/>
      <c r="G7" s="568"/>
      <c r="H7" s="627" t="s">
        <v>164</v>
      </c>
      <c r="I7" s="627"/>
      <c r="J7" s="66"/>
    </row>
    <row r="8" spans="1:10" ht="19.5" customHeight="1" x14ac:dyDescent="0.35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  <c r="J8" s="66"/>
    </row>
    <row r="9" spans="1:10" ht="19.5" customHeight="1" x14ac:dyDescent="0.35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208</v>
      </c>
      <c r="I9" s="593"/>
      <c r="J9" s="66"/>
    </row>
    <row r="10" spans="1:10" ht="19.5" customHeight="1" x14ac:dyDescent="0.35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  <c r="J10" s="66"/>
    </row>
    <row r="11" spans="1:10" ht="18.75" customHeight="1" x14ac:dyDescent="0.35">
      <c r="A11" s="567"/>
      <c r="B11" s="567"/>
      <c r="C11" s="567"/>
      <c r="D11" s="567"/>
      <c r="E11" s="567"/>
      <c r="F11" s="567"/>
      <c r="G11" s="567"/>
      <c r="H11" s="567"/>
      <c r="I11" s="567"/>
      <c r="J11" s="66"/>
    </row>
    <row r="12" spans="1:10" ht="48" customHeight="1" x14ac:dyDescent="0.35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  <c r="J12" s="66"/>
    </row>
    <row r="13" spans="1:10" ht="18.75" customHeight="1" x14ac:dyDescent="0.35">
      <c r="A13" s="567"/>
      <c r="B13" s="567"/>
      <c r="C13" s="567"/>
      <c r="D13" s="567"/>
      <c r="E13" s="567"/>
      <c r="F13" s="567"/>
      <c r="G13" s="567"/>
      <c r="H13" s="567"/>
      <c r="I13" s="567"/>
      <c r="J13" s="66"/>
    </row>
    <row r="14" spans="1:10" ht="19.5" customHeight="1" x14ac:dyDescent="0.35">
      <c r="A14" s="586" t="s">
        <v>47</v>
      </c>
      <c r="B14" s="586"/>
      <c r="C14" s="586"/>
      <c r="D14" s="586"/>
      <c r="E14" s="586"/>
      <c r="F14" s="586"/>
      <c r="G14" s="586"/>
      <c r="H14" s="586"/>
      <c r="I14" s="586"/>
      <c r="J14" s="66"/>
    </row>
    <row r="15" spans="1:10" ht="19.5" customHeight="1" x14ac:dyDescent="0.35">
      <c r="A15" s="67">
        <v>1</v>
      </c>
      <c r="B15" s="568" t="s">
        <v>48</v>
      </c>
      <c r="C15" s="568"/>
      <c r="D15" s="568"/>
      <c r="E15" s="568"/>
      <c r="F15" s="568"/>
      <c r="G15" s="568"/>
      <c r="H15" s="596" t="s">
        <v>299</v>
      </c>
      <c r="I15" s="596"/>
      <c r="J15" s="66"/>
    </row>
    <row r="16" spans="1:10" ht="19.5" customHeight="1" x14ac:dyDescent="0.35">
      <c r="A16" s="67">
        <v>2</v>
      </c>
      <c r="B16" s="568" t="s">
        <v>49</v>
      </c>
      <c r="C16" s="568"/>
      <c r="D16" s="568"/>
      <c r="E16" s="568"/>
      <c r="F16" s="568"/>
      <c r="G16" s="568"/>
      <c r="H16" s="596">
        <v>7832</v>
      </c>
      <c r="I16" s="596"/>
      <c r="J16" s="66"/>
    </row>
    <row r="17" spans="1:1017" ht="19.5" customHeight="1" x14ac:dyDescent="0.35">
      <c r="A17" s="67">
        <v>3</v>
      </c>
      <c r="B17" s="568" t="s">
        <v>285</v>
      </c>
      <c r="C17" s="568"/>
      <c r="D17" s="568"/>
      <c r="E17" s="568"/>
      <c r="F17" s="568"/>
      <c r="G17" s="568"/>
      <c r="H17" s="624">
        <v>1121.2</v>
      </c>
      <c r="I17" s="624"/>
      <c r="J17" s="66"/>
    </row>
    <row r="18" spans="1:1017" ht="19.5" customHeight="1" x14ac:dyDescent="0.35">
      <c r="A18" s="67">
        <v>4</v>
      </c>
      <c r="B18" s="568" t="s">
        <v>51</v>
      </c>
      <c r="C18" s="568"/>
      <c r="D18" s="568"/>
      <c r="E18" s="568"/>
      <c r="F18" s="568"/>
      <c r="G18" s="568"/>
      <c r="H18" s="596" t="s">
        <v>299</v>
      </c>
      <c r="I18" s="596"/>
      <c r="J18" s="66"/>
    </row>
    <row r="19" spans="1:1017" ht="19.5" customHeight="1" x14ac:dyDescent="0.35">
      <c r="A19" s="67">
        <v>5</v>
      </c>
      <c r="B19" s="568" t="s">
        <v>52</v>
      </c>
      <c r="C19" s="568"/>
      <c r="D19" s="568"/>
      <c r="E19" s="568"/>
      <c r="F19" s="568"/>
      <c r="G19" s="568"/>
      <c r="H19" s="625">
        <v>43831</v>
      </c>
      <c r="I19" s="625"/>
      <c r="J19" s="66"/>
      <c r="R19" s="621"/>
      <c r="S19" s="621"/>
      <c r="T19" s="621"/>
      <c r="U19" s="621"/>
      <c r="V19" s="621"/>
      <c r="W19" s="621"/>
      <c r="X19" s="621"/>
      <c r="Y19" s="621"/>
      <c r="Z19" s="621"/>
      <c r="AA19" s="621"/>
      <c r="AB19" s="621"/>
      <c r="AC19" s="621"/>
      <c r="AD19" s="621"/>
      <c r="AE19" s="621"/>
      <c r="AF19" s="621"/>
      <c r="AG19" s="621"/>
      <c r="AH19" s="621"/>
      <c r="AI19" s="621"/>
      <c r="AJ19" s="621"/>
      <c r="AK19" s="621"/>
      <c r="AL19" s="621"/>
      <c r="AM19" s="621"/>
      <c r="AN19" s="621"/>
      <c r="AO19" s="621"/>
      <c r="AP19" s="621"/>
      <c r="AQ19" s="621"/>
      <c r="AR19" s="621"/>
      <c r="AS19" s="621"/>
      <c r="AT19" s="621"/>
      <c r="AU19" s="621"/>
      <c r="AV19" s="621"/>
      <c r="AW19" s="621"/>
      <c r="AX19" s="621"/>
      <c r="AY19" s="621"/>
      <c r="AZ19" s="621"/>
      <c r="BA19" s="621"/>
      <c r="BB19" s="621"/>
      <c r="BC19" s="621"/>
      <c r="BD19" s="621"/>
      <c r="BE19" s="621"/>
      <c r="BF19" s="621"/>
      <c r="BG19" s="621"/>
      <c r="BH19" s="621"/>
      <c r="BI19" s="621"/>
      <c r="BJ19" s="621"/>
      <c r="BK19" s="621"/>
      <c r="BL19" s="621"/>
      <c r="BM19" s="621"/>
      <c r="BN19" s="621"/>
      <c r="BO19" s="621"/>
      <c r="BP19" s="621"/>
      <c r="BQ19" s="621"/>
      <c r="BR19" s="621"/>
      <c r="BS19" s="621"/>
      <c r="BT19" s="621"/>
      <c r="BU19" s="621"/>
      <c r="BV19" s="621"/>
      <c r="BW19" s="621"/>
      <c r="BX19" s="621"/>
      <c r="BY19" s="621"/>
      <c r="BZ19" s="621"/>
      <c r="CA19" s="621"/>
      <c r="CB19" s="621"/>
      <c r="CC19" s="621"/>
      <c r="CD19" s="621"/>
      <c r="CE19" s="621"/>
      <c r="CF19" s="621"/>
      <c r="CG19" s="621"/>
      <c r="CH19" s="621"/>
      <c r="CI19" s="621"/>
      <c r="CJ19" s="621"/>
      <c r="CK19" s="621"/>
      <c r="CL19" s="621"/>
      <c r="CM19" s="621"/>
      <c r="CN19" s="621"/>
      <c r="CO19" s="621"/>
      <c r="CP19" s="621"/>
      <c r="CQ19" s="621"/>
      <c r="CR19" s="621"/>
      <c r="CS19" s="621"/>
      <c r="CT19" s="621"/>
      <c r="CU19" s="621"/>
      <c r="CV19" s="621"/>
      <c r="CW19" s="621"/>
      <c r="CX19" s="621"/>
      <c r="CY19" s="621"/>
      <c r="CZ19" s="621"/>
      <c r="DA19" s="621"/>
      <c r="DB19" s="621"/>
      <c r="DC19" s="621"/>
      <c r="DD19" s="621"/>
      <c r="DE19" s="621"/>
      <c r="DF19" s="621"/>
      <c r="DG19" s="621"/>
      <c r="DH19" s="621"/>
      <c r="DI19" s="621"/>
      <c r="DJ19" s="621"/>
      <c r="DK19" s="621"/>
      <c r="DL19" s="621"/>
      <c r="DM19" s="621"/>
      <c r="DN19" s="621"/>
      <c r="DO19" s="621"/>
      <c r="DP19" s="621"/>
      <c r="DQ19" s="621"/>
      <c r="DR19" s="621"/>
      <c r="DS19" s="621"/>
      <c r="DT19" s="621"/>
      <c r="DU19" s="621"/>
      <c r="DV19" s="621"/>
      <c r="DW19" s="621"/>
      <c r="DX19" s="621"/>
      <c r="DY19" s="621"/>
      <c r="DZ19" s="621"/>
      <c r="EA19" s="621"/>
      <c r="EB19" s="621"/>
      <c r="EC19" s="621"/>
      <c r="ED19" s="621"/>
      <c r="EE19" s="621"/>
      <c r="EF19" s="621"/>
      <c r="EG19" s="621"/>
      <c r="EH19" s="621"/>
      <c r="EI19" s="621"/>
      <c r="EJ19" s="621"/>
      <c r="EK19" s="621"/>
      <c r="EL19" s="621"/>
      <c r="EM19" s="621"/>
      <c r="EN19" s="621"/>
      <c r="EO19" s="621"/>
      <c r="EP19" s="621"/>
      <c r="EQ19" s="621"/>
      <c r="ER19" s="621"/>
      <c r="ES19" s="621"/>
      <c r="ET19" s="621"/>
      <c r="EU19" s="621"/>
      <c r="EV19" s="621"/>
      <c r="EW19" s="621"/>
      <c r="EX19" s="621"/>
      <c r="EY19" s="621"/>
      <c r="EZ19" s="621"/>
      <c r="FA19" s="621"/>
      <c r="FB19" s="621"/>
      <c r="FC19" s="621"/>
      <c r="FD19" s="621"/>
      <c r="FE19" s="621"/>
      <c r="FF19" s="621"/>
      <c r="FG19" s="621"/>
      <c r="FH19" s="621"/>
      <c r="FI19" s="621"/>
      <c r="FJ19" s="621"/>
      <c r="FK19" s="621"/>
      <c r="FL19" s="621"/>
      <c r="FM19" s="621"/>
      <c r="FN19" s="621"/>
      <c r="FO19" s="621"/>
      <c r="FP19" s="621"/>
      <c r="FQ19" s="621"/>
      <c r="FR19" s="621"/>
      <c r="FS19" s="621"/>
      <c r="FT19" s="621"/>
      <c r="FU19" s="621"/>
      <c r="FV19" s="621"/>
      <c r="FW19" s="621"/>
      <c r="FX19" s="621"/>
      <c r="FY19" s="621"/>
      <c r="FZ19" s="621"/>
      <c r="GA19" s="621"/>
      <c r="GB19" s="621"/>
      <c r="GC19" s="621"/>
      <c r="GD19" s="621"/>
      <c r="GE19" s="621"/>
      <c r="GF19" s="621"/>
      <c r="GG19" s="621"/>
      <c r="GH19" s="621"/>
      <c r="GI19" s="621"/>
      <c r="GJ19" s="621"/>
      <c r="GK19" s="621"/>
      <c r="GL19" s="621"/>
      <c r="GM19" s="621"/>
      <c r="GN19" s="621"/>
      <c r="GO19" s="621"/>
      <c r="GP19" s="621"/>
      <c r="GQ19" s="621"/>
      <c r="GR19" s="621"/>
      <c r="GS19" s="621"/>
      <c r="GT19" s="621"/>
      <c r="GU19" s="621"/>
      <c r="GV19" s="621"/>
      <c r="GW19" s="621"/>
      <c r="GX19" s="621"/>
      <c r="GY19" s="621"/>
      <c r="GZ19" s="621"/>
      <c r="HA19" s="621"/>
      <c r="HB19" s="621"/>
      <c r="HC19" s="621"/>
      <c r="HD19" s="621"/>
      <c r="HE19" s="621"/>
      <c r="HF19" s="621"/>
      <c r="HG19" s="621"/>
      <c r="HH19" s="621"/>
      <c r="HI19" s="621"/>
      <c r="HJ19" s="621"/>
      <c r="HK19" s="621"/>
      <c r="HL19" s="621"/>
      <c r="HM19" s="621"/>
      <c r="HN19" s="621"/>
      <c r="HO19" s="621"/>
      <c r="HP19" s="621"/>
      <c r="HQ19" s="621"/>
      <c r="HR19" s="621"/>
      <c r="HS19" s="621"/>
      <c r="HT19" s="621"/>
      <c r="HU19" s="621"/>
      <c r="HV19" s="621"/>
      <c r="HW19" s="621"/>
      <c r="HX19" s="621"/>
      <c r="HY19" s="621"/>
      <c r="HZ19" s="621"/>
      <c r="IA19" s="621"/>
      <c r="IB19" s="621"/>
      <c r="IC19" s="621"/>
      <c r="ID19" s="621"/>
      <c r="IE19" s="621"/>
      <c r="IF19" s="621"/>
      <c r="IG19" s="621"/>
      <c r="IH19" s="621"/>
      <c r="II19" s="621"/>
      <c r="IJ19" s="621"/>
      <c r="IK19" s="621"/>
      <c r="IL19" s="621"/>
      <c r="IM19" s="621"/>
      <c r="IN19" s="621"/>
      <c r="IO19" s="621"/>
      <c r="IP19" s="116"/>
      <c r="IQ19" s="116"/>
      <c r="IR19" s="116"/>
      <c r="IS19" s="116"/>
      <c r="IT19" s="116"/>
      <c r="IU19" s="116"/>
      <c r="IV19" s="116"/>
      <c r="IW19" s="116"/>
      <c r="IX19" s="116"/>
      <c r="IY19" s="116"/>
      <c r="IZ19" s="116"/>
      <c r="JA19" s="116"/>
      <c r="JB19" s="116"/>
      <c r="JC19" s="116"/>
      <c r="JD19" s="116"/>
      <c r="JE19" s="116"/>
      <c r="JF19" s="116"/>
      <c r="JG19" s="116"/>
      <c r="JH19" s="116"/>
      <c r="JI19" s="116"/>
      <c r="JJ19" s="116"/>
      <c r="JK19" s="116"/>
      <c r="JL19" s="116"/>
      <c r="JM19" s="116"/>
      <c r="JN19" s="116"/>
      <c r="JO19" s="116"/>
      <c r="JP19" s="116"/>
      <c r="JQ19" s="116"/>
      <c r="JR19" s="116"/>
      <c r="JS19" s="116"/>
      <c r="JT19" s="116"/>
      <c r="JU19" s="116"/>
      <c r="JV19" s="116"/>
      <c r="JW19" s="116"/>
      <c r="JX19" s="116"/>
      <c r="JY19" s="116"/>
      <c r="JZ19" s="116"/>
      <c r="KA19" s="116"/>
      <c r="KB19" s="116"/>
      <c r="KC19" s="116"/>
      <c r="KD19" s="116"/>
      <c r="KE19" s="116"/>
      <c r="KF19" s="116"/>
      <c r="KG19" s="116"/>
      <c r="KH19" s="116"/>
      <c r="KI19" s="116"/>
      <c r="KJ19" s="116"/>
      <c r="KK19" s="116"/>
      <c r="KL19" s="116"/>
      <c r="KM19" s="116"/>
      <c r="KN19" s="116"/>
      <c r="KO19" s="116"/>
      <c r="KP19" s="116"/>
      <c r="KQ19" s="116"/>
      <c r="KR19" s="116"/>
      <c r="KS19" s="116"/>
      <c r="KT19" s="116"/>
      <c r="KU19" s="116"/>
      <c r="KV19" s="116"/>
      <c r="KW19" s="116"/>
      <c r="KX19" s="116"/>
      <c r="KY19" s="116"/>
      <c r="KZ19" s="116"/>
      <c r="LA19" s="116"/>
      <c r="LB19" s="116"/>
      <c r="LC19" s="116"/>
      <c r="LD19" s="116"/>
      <c r="LE19" s="116"/>
      <c r="LF19" s="116"/>
      <c r="LG19" s="116"/>
      <c r="LH19" s="116"/>
      <c r="LI19" s="116"/>
      <c r="LJ19" s="116"/>
      <c r="LK19" s="116"/>
      <c r="LL19" s="116"/>
      <c r="LM19" s="116"/>
      <c r="LN19" s="116"/>
      <c r="LO19" s="116"/>
      <c r="LP19" s="116"/>
      <c r="LQ19" s="116"/>
      <c r="LR19" s="116"/>
      <c r="LS19" s="116"/>
      <c r="LT19" s="116"/>
      <c r="LU19" s="116"/>
      <c r="LV19" s="116"/>
      <c r="LW19" s="116"/>
      <c r="LX19" s="116"/>
      <c r="LY19" s="116"/>
      <c r="LZ19" s="116"/>
      <c r="MA19" s="116"/>
      <c r="MB19" s="116"/>
      <c r="MC19" s="116"/>
      <c r="MD19" s="116"/>
      <c r="ME19" s="116"/>
      <c r="MF19" s="116"/>
      <c r="MG19" s="116"/>
      <c r="MH19" s="116"/>
      <c r="MI19" s="116"/>
      <c r="MJ19" s="116"/>
      <c r="MK19" s="116"/>
      <c r="ML19" s="116"/>
      <c r="MM19" s="116"/>
      <c r="MN19" s="116"/>
      <c r="MO19" s="116"/>
      <c r="MP19" s="116"/>
      <c r="MQ19" s="116"/>
      <c r="MR19" s="116"/>
      <c r="MS19" s="116"/>
      <c r="MT19" s="116"/>
      <c r="MU19" s="116"/>
      <c r="MV19" s="116"/>
      <c r="MW19" s="116"/>
      <c r="MX19" s="116"/>
      <c r="MY19" s="116"/>
      <c r="MZ19" s="116"/>
      <c r="NA19" s="116"/>
      <c r="NB19" s="116"/>
      <c r="NC19" s="116"/>
      <c r="ND19" s="116"/>
      <c r="NE19" s="116"/>
      <c r="NF19" s="116"/>
      <c r="NG19" s="116"/>
      <c r="NH19" s="116"/>
      <c r="NI19" s="116"/>
      <c r="NJ19" s="116"/>
      <c r="NK19" s="116"/>
      <c r="NL19" s="116"/>
      <c r="NM19" s="116"/>
      <c r="NN19" s="116"/>
      <c r="NO19" s="116"/>
      <c r="NP19" s="116"/>
      <c r="NQ19" s="116"/>
      <c r="NR19" s="116"/>
      <c r="NS19" s="116"/>
      <c r="NT19" s="116"/>
      <c r="NU19" s="116"/>
      <c r="NV19" s="116"/>
      <c r="NW19" s="116"/>
      <c r="NX19" s="116"/>
      <c r="NY19" s="116"/>
      <c r="NZ19" s="116"/>
      <c r="OA19" s="116"/>
      <c r="OB19" s="116"/>
      <c r="OC19" s="116"/>
      <c r="OD19" s="116"/>
      <c r="OE19" s="116"/>
      <c r="OF19" s="116"/>
      <c r="OG19" s="116"/>
      <c r="OH19" s="116"/>
      <c r="OI19" s="116"/>
      <c r="OJ19" s="116"/>
      <c r="OK19" s="116"/>
      <c r="OL19" s="116"/>
      <c r="OM19" s="116"/>
      <c r="ON19" s="116"/>
      <c r="OO19" s="116"/>
      <c r="OP19" s="116"/>
      <c r="OQ19" s="116"/>
      <c r="OR19" s="116"/>
      <c r="OS19" s="116"/>
      <c r="OT19" s="116"/>
      <c r="OU19" s="116"/>
      <c r="OV19" s="116"/>
      <c r="OW19" s="116"/>
      <c r="OX19" s="116"/>
      <c r="OY19" s="116"/>
      <c r="OZ19" s="116"/>
      <c r="PA19" s="116"/>
      <c r="PB19" s="116"/>
      <c r="PC19" s="116"/>
      <c r="PD19" s="116"/>
      <c r="PE19" s="116"/>
      <c r="PF19" s="116"/>
      <c r="PG19" s="116"/>
      <c r="PH19" s="116"/>
      <c r="PI19" s="116"/>
      <c r="PJ19" s="116"/>
      <c r="PK19" s="116"/>
      <c r="PL19" s="116"/>
      <c r="PM19" s="116"/>
      <c r="PN19" s="116"/>
      <c r="PO19" s="116"/>
      <c r="PP19" s="116"/>
      <c r="PQ19" s="116"/>
      <c r="PR19" s="116"/>
      <c r="PS19" s="116"/>
      <c r="PT19" s="116"/>
      <c r="PU19" s="116"/>
      <c r="PV19" s="116"/>
      <c r="PW19" s="116"/>
      <c r="PX19" s="116"/>
      <c r="PY19" s="116"/>
      <c r="PZ19" s="116"/>
      <c r="QA19" s="116"/>
      <c r="QB19" s="116"/>
      <c r="QC19" s="116"/>
      <c r="QD19" s="116"/>
      <c r="QE19" s="116"/>
      <c r="QF19" s="116"/>
      <c r="QG19" s="116"/>
      <c r="QH19" s="116"/>
      <c r="QI19" s="116"/>
      <c r="QJ19" s="116"/>
      <c r="QK19" s="116"/>
      <c r="QL19" s="116"/>
      <c r="QM19" s="116"/>
      <c r="QN19" s="116"/>
      <c r="QO19" s="116"/>
      <c r="QP19" s="116"/>
      <c r="QQ19" s="116"/>
      <c r="QR19" s="116"/>
      <c r="QS19" s="116"/>
      <c r="QT19" s="116"/>
      <c r="QU19" s="116"/>
      <c r="QV19" s="116"/>
      <c r="QW19" s="116"/>
      <c r="QX19" s="116"/>
      <c r="QY19" s="116"/>
      <c r="QZ19" s="116"/>
      <c r="RA19" s="116"/>
      <c r="RB19" s="116"/>
      <c r="RC19" s="116"/>
      <c r="RD19" s="116"/>
      <c r="RE19" s="116"/>
      <c r="RF19" s="116"/>
      <c r="RG19" s="116"/>
      <c r="RH19" s="116"/>
      <c r="RI19" s="116"/>
      <c r="RJ19" s="116"/>
      <c r="RK19" s="116"/>
      <c r="RL19" s="116"/>
      <c r="RM19" s="116"/>
      <c r="RN19" s="116"/>
      <c r="RO19" s="116"/>
      <c r="RP19" s="116"/>
      <c r="RQ19" s="116"/>
      <c r="RR19" s="116"/>
      <c r="RS19" s="116"/>
      <c r="RT19" s="116"/>
      <c r="RU19" s="116"/>
      <c r="RV19" s="116"/>
      <c r="RW19" s="116"/>
      <c r="RX19" s="116"/>
      <c r="RY19" s="116"/>
      <c r="RZ19" s="116"/>
      <c r="SA19" s="116"/>
      <c r="SB19" s="116"/>
      <c r="SC19" s="116"/>
      <c r="SD19" s="116"/>
      <c r="SE19" s="116"/>
      <c r="SF19" s="116"/>
      <c r="SG19" s="116"/>
      <c r="SH19" s="116"/>
      <c r="SI19" s="116"/>
      <c r="SJ19" s="116"/>
      <c r="SK19" s="116"/>
      <c r="SL19" s="116"/>
      <c r="SM19" s="116"/>
      <c r="SN19" s="116"/>
      <c r="SO19" s="116"/>
      <c r="SP19" s="116"/>
      <c r="SQ19" s="116"/>
      <c r="SR19" s="116"/>
      <c r="SS19" s="116"/>
      <c r="ST19" s="116"/>
      <c r="SU19" s="116"/>
      <c r="SV19" s="116"/>
      <c r="SW19" s="116"/>
      <c r="SX19" s="116"/>
      <c r="SY19" s="116"/>
      <c r="SZ19" s="116"/>
      <c r="TA19" s="116"/>
      <c r="TB19" s="116"/>
      <c r="TC19" s="116"/>
      <c r="TD19" s="116"/>
      <c r="TE19" s="116"/>
      <c r="TF19" s="116"/>
      <c r="TG19" s="116"/>
      <c r="TH19" s="116"/>
      <c r="TI19" s="116"/>
      <c r="TJ19" s="116"/>
      <c r="TK19" s="116"/>
      <c r="TL19" s="116"/>
      <c r="TM19" s="116"/>
      <c r="TN19" s="116"/>
      <c r="TO19" s="116"/>
      <c r="TP19" s="116"/>
      <c r="TQ19" s="116"/>
      <c r="TR19" s="116"/>
      <c r="TS19" s="116"/>
      <c r="TT19" s="116"/>
      <c r="TU19" s="116"/>
      <c r="TV19" s="116"/>
      <c r="TW19" s="116"/>
      <c r="TX19" s="116"/>
      <c r="TY19" s="116"/>
      <c r="TZ19" s="116"/>
      <c r="UA19" s="116"/>
      <c r="UB19" s="116"/>
      <c r="UC19" s="116"/>
      <c r="UD19" s="116"/>
      <c r="UE19" s="116"/>
      <c r="UF19" s="116"/>
      <c r="UG19" s="116"/>
      <c r="UH19" s="116"/>
      <c r="UI19" s="116"/>
      <c r="UJ19" s="116"/>
      <c r="UK19" s="116"/>
      <c r="UL19" s="116"/>
      <c r="UM19" s="116"/>
      <c r="UN19" s="116"/>
      <c r="UO19" s="116"/>
      <c r="UP19" s="116"/>
      <c r="UQ19" s="116"/>
      <c r="UR19" s="116"/>
      <c r="US19" s="116"/>
      <c r="UT19" s="116"/>
      <c r="UU19" s="116"/>
      <c r="UV19" s="116"/>
      <c r="UW19" s="116"/>
      <c r="UX19" s="116"/>
      <c r="UY19" s="116"/>
      <c r="UZ19" s="116"/>
      <c r="VA19" s="116"/>
      <c r="VB19" s="116"/>
      <c r="VC19" s="116"/>
      <c r="VD19" s="116"/>
      <c r="VE19" s="116"/>
      <c r="VF19" s="116"/>
      <c r="VG19" s="116"/>
      <c r="VH19" s="116"/>
      <c r="VI19" s="116"/>
      <c r="VJ19" s="116"/>
      <c r="VK19" s="116"/>
      <c r="VL19" s="116"/>
      <c r="VM19" s="116"/>
      <c r="VN19" s="116"/>
      <c r="VO19" s="116"/>
      <c r="VP19" s="116"/>
      <c r="VQ19" s="116"/>
      <c r="VR19" s="116"/>
      <c r="VS19" s="116"/>
      <c r="VT19" s="116"/>
      <c r="VU19" s="116"/>
      <c r="VV19" s="116"/>
      <c r="VW19" s="116"/>
      <c r="VX19" s="116"/>
      <c r="VY19" s="116"/>
      <c r="VZ19" s="116"/>
      <c r="WA19" s="116"/>
      <c r="WB19" s="116"/>
      <c r="WC19" s="116"/>
      <c r="WD19" s="116"/>
      <c r="WE19" s="116"/>
      <c r="WF19" s="116"/>
      <c r="WG19" s="116"/>
      <c r="WH19" s="116"/>
      <c r="WI19" s="116"/>
      <c r="WJ19" s="116"/>
      <c r="WK19" s="116"/>
      <c r="WL19" s="116"/>
      <c r="WM19" s="116"/>
      <c r="WN19" s="116"/>
      <c r="WO19" s="116"/>
      <c r="WP19" s="116"/>
      <c r="WQ19" s="116"/>
      <c r="WR19" s="116"/>
      <c r="WS19" s="116"/>
      <c r="WT19" s="116"/>
      <c r="WU19" s="116"/>
      <c r="WV19" s="116"/>
      <c r="WW19" s="116"/>
      <c r="WX19" s="116"/>
      <c r="WY19" s="116"/>
      <c r="WZ19" s="116"/>
      <c r="XA19" s="116"/>
      <c r="XB19" s="116"/>
      <c r="XC19" s="116"/>
      <c r="XD19" s="116"/>
      <c r="XE19" s="116"/>
      <c r="XF19" s="116"/>
      <c r="XG19" s="116"/>
      <c r="XH19" s="116"/>
      <c r="XI19" s="116"/>
      <c r="XJ19" s="116"/>
      <c r="XK19" s="116"/>
      <c r="XL19" s="116"/>
      <c r="XM19" s="116"/>
      <c r="XN19" s="116"/>
      <c r="XO19" s="116"/>
      <c r="XP19" s="116"/>
      <c r="XQ19" s="116"/>
      <c r="XR19" s="116"/>
      <c r="XS19" s="116"/>
      <c r="XT19" s="116"/>
      <c r="XU19" s="116"/>
      <c r="XV19" s="116"/>
      <c r="XW19" s="116"/>
      <c r="XX19" s="116"/>
      <c r="XY19" s="116"/>
      <c r="XZ19" s="116"/>
      <c r="YA19" s="116"/>
      <c r="YB19" s="116"/>
      <c r="YC19" s="116"/>
      <c r="YD19" s="116"/>
      <c r="YE19" s="116"/>
      <c r="YF19" s="116"/>
      <c r="YG19" s="116"/>
      <c r="YH19" s="116"/>
      <c r="YI19" s="116"/>
      <c r="YJ19" s="116"/>
      <c r="YK19" s="116"/>
      <c r="YL19" s="116"/>
      <c r="YM19" s="116"/>
      <c r="YN19" s="116"/>
      <c r="YO19" s="116"/>
      <c r="YP19" s="116"/>
      <c r="YQ19" s="116"/>
      <c r="YR19" s="116"/>
      <c r="YS19" s="116"/>
      <c r="YT19" s="116"/>
      <c r="YU19" s="116"/>
      <c r="YV19" s="116"/>
      <c r="YW19" s="116"/>
      <c r="YX19" s="116"/>
      <c r="YY19" s="116"/>
      <c r="YZ19" s="116"/>
      <c r="ZA19" s="116"/>
      <c r="ZB19" s="116"/>
      <c r="ZC19" s="116"/>
      <c r="ZD19" s="116"/>
      <c r="ZE19" s="116"/>
      <c r="ZF19" s="116"/>
      <c r="ZG19" s="116"/>
      <c r="ZH19" s="116"/>
      <c r="ZI19" s="116"/>
      <c r="ZJ19" s="116"/>
      <c r="ZK19" s="116"/>
      <c r="ZL19" s="116"/>
      <c r="ZM19" s="116"/>
      <c r="ZN19" s="116"/>
      <c r="ZO19" s="116"/>
      <c r="ZP19" s="116"/>
      <c r="ZQ19" s="116"/>
      <c r="ZR19" s="116"/>
      <c r="ZS19" s="116"/>
      <c r="ZT19" s="116"/>
      <c r="ZU19" s="116"/>
      <c r="ZV19" s="116"/>
      <c r="ZW19" s="116"/>
      <c r="ZX19" s="116"/>
      <c r="ZY19" s="116"/>
      <c r="ZZ19" s="116"/>
      <c r="AAA19" s="116"/>
      <c r="AAB19" s="116"/>
      <c r="AAC19" s="116"/>
      <c r="AAD19" s="116"/>
      <c r="AAE19" s="116"/>
      <c r="AAF19" s="116"/>
      <c r="AAG19" s="116"/>
      <c r="AAH19" s="116"/>
      <c r="AAI19" s="116"/>
      <c r="AAJ19" s="116"/>
      <c r="AAK19" s="116"/>
      <c r="AAL19" s="116"/>
      <c r="AAM19" s="116"/>
      <c r="AAN19" s="116"/>
      <c r="AAO19" s="116"/>
      <c r="AAP19" s="116"/>
      <c r="AAQ19" s="116"/>
      <c r="AAR19" s="116"/>
      <c r="AAS19" s="116"/>
      <c r="AAT19" s="116"/>
      <c r="AAU19" s="116"/>
      <c r="AAV19" s="116"/>
      <c r="AAW19" s="116"/>
      <c r="AAX19" s="116"/>
      <c r="AAY19" s="116"/>
      <c r="AAZ19" s="116"/>
      <c r="ABA19" s="116"/>
      <c r="ABB19" s="116"/>
      <c r="ABC19" s="116"/>
      <c r="ABD19" s="116"/>
      <c r="ABE19" s="116"/>
      <c r="ABF19" s="116"/>
      <c r="ABG19" s="116"/>
      <c r="ABH19" s="116"/>
      <c r="ABI19" s="116"/>
      <c r="ABJ19" s="116"/>
      <c r="ABK19" s="116"/>
      <c r="ABL19" s="116"/>
      <c r="ABM19" s="116"/>
      <c r="ABN19" s="116"/>
      <c r="ABO19" s="116"/>
      <c r="ABP19" s="116"/>
      <c r="ABQ19" s="116"/>
      <c r="ABR19" s="116"/>
      <c r="ABS19" s="116"/>
      <c r="ABT19" s="116"/>
      <c r="ABU19" s="116"/>
      <c r="ABV19" s="116"/>
      <c r="ABW19" s="116"/>
      <c r="ABX19" s="116"/>
      <c r="ABY19" s="116"/>
      <c r="ABZ19" s="116"/>
      <c r="ACA19" s="116"/>
      <c r="ACB19" s="116"/>
      <c r="ACC19" s="116"/>
      <c r="ACD19" s="116"/>
      <c r="ACE19" s="116"/>
      <c r="ACF19" s="116"/>
      <c r="ACG19" s="116"/>
      <c r="ACH19" s="116"/>
      <c r="ACI19" s="116"/>
      <c r="ACJ19" s="116"/>
      <c r="ACK19" s="116"/>
      <c r="ACL19" s="116"/>
      <c r="ACM19" s="116"/>
      <c r="ACN19" s="116"/>
      <c r="ACO19" s="116"/>
      <c r="ACP19" s="116"/>
      <c r="ACQ19" s="116"/>
      <c r="ACR19" s="116"/>
      <c r="ACS19" s="116"/>
      <c r="ACT19" s="116"/>
      <c r="ACU19" s="116"/>
      <c r="ACV19" s="116"/>
      <c r="ACW19" s="116"/>
      <c r="ACX19" s="116"/>
      <c r="ACY19" s="116"/>
      <c r="ACZ19" s="116"/>
      <c r="ADA19" s="116"/>
      <c r="ADB19" s="116"/>
      <c r="ADC19" s="116"/>
      <c r="ADD19" s="116"/>
      <c r="ADE19" s="116"/>
      <c r="ADF19" s="116"/>
      <c r="ADG19" s="116"/>
      <c r="ADH19" s="116"/>
      <c r="ADI19" s="116"/>
      <c r="ADJ19" s="116"/>
      <c r="ADK19" s="116"/>
      <c r="ADL19" s="116"/>
      <c r="ADM19" s="116"/>
      <c r="ADN19" s="116"/>
      <c r="ADO19" s="116"/>
      <c r="ADP19" s="116"/>
      <c r="ADQ19" s="116"/>
      <c r="ADR19" s="116"/>
      <c r="ADS19" s="116"/>
      <c r="ADT19" s="116"/>
      <c r="ADU19" s="116"/>
      <c r="ADV19" s="116"/>
      <c r="ADW19" s="116"/>
      <c r="ADX19" s="116"/>
      <c r="ADY19" s="116"/>
      <c r="ADZ19" s="116"/>
      <c r="AEA19" s="116"/>
      <c r="AEB19" s="116"/>
      <c r="AEC19" s="116"/>
      <c r="AED19" s="116"/>
      <c r="AEE19" s="116"/>
      <c r="AEF19" s="116"/>
      <c r="AEG19" s="116"/>
      <c r="AEH19" s="116"/>
      <c r="AEI19" s="116"/>
      <c r="AEJ19" s="116"/>
      <c r="AEK19" s="116"/>
      <c r="AEL19" s="116"/>
      <c r="AEM19" s="116"/>
      <c r="AEN19" s="116"/>
      <c r="AEO19" s="116"/>
      <c r="AEP19" s="116"/>
      <c r="AEQ19" s="116"/>
      <c r="AER19" s="116"/>
      <c r="AES19" s="116"/>
      <c r="AET19" s="116"/>
      <c r="AEU19" s="116"/>
      <c r="AEV19" s="116"/>
      <c r="AEW19" s="116"/>
      <c r="AEX19" s="116"/>
      <c r="AEY19" s="116"/>
      <c r="AEZ19" s="116"/>
      <c r="AFA19" s="116"/>
      <c r="AFB19" s="116"/>
      <c r="AFC19" s="116"/>
      <c r="AFD19" s="116"/>
      <c r="AFE19" s="116"/>
      <c r="AFF19" s="116"/>
      <c r="AFG19" s="116"/>
      <c r="AFH19" s="116"/>
      <c r="AFI19" s="116"/>
      <c r="AFJ19" s="116"/>
      <c r="AFK19" s="116"/>
      <c r="AFL19" s="116"/>
      <c r="AFM19" s="116"/>
      <c r="AFN19" s="116"/>
      <c r="AFO19" s="116"/>
      <c r="AFP19" s="116"/>
      <c r="AFQ19" s="116"/>
      <c r="AFR19" s="116"/>
      <c r="AFS19" s="116"/>
      <c r="AFT19" s="116"/>
      <c r="AFU19" s="116"/>
      <c r="AFV19" s="116"/>
      <c r="AFW19" s="116"/>
      <c r="AFX19" s="116"/>
      <c r="AFY19" s="116"/>
      <c r="AFZ19" s="116"/>
      <c r="AGA19" s="116"/>
      <c r="AGB19" s="116"/>
      <c r="AGC19" s="116"/>
      <c r="AGD19" s="116"/>
      <c r="AGE19" s="116"/>
      <c r="AGF19" s="116"/>
      <c r="AGG19" s="116"/>
      <c r="AGH19" s="116"/>
      <c r="AGI19" s="116"/>
      <c r="AGJ19" s="116"/>
      <c r="AGK19" s="116"/>
      <c r="AGL19" s="116"/>
      <c r="AGM19" s="116"/>
      <c r="AGN19" s="116"/>
      <c r="AGO19" s="116"/>
      <c r="AGP19" s="116"/>
      <c r="AGQ19" s="116"/>
      <c r="AGR19" s="116"/>
      <c r="AGS19" s="116"/>
      <c r="AGT19" s="116"/>
      <c r="AGU19" s="116"/>
      <c r="AGV19" s="116"/>
      <c r="AGW19" s="116"/>
      <c r="AGX19" s="116"/>
      <c r="AGY19" s="116"/>
      <c r="AGZ19" s="116"/>
      <c r="AHA19" s="116"/>
      <c r="AHB19" s="116"/>
      <c r="AHC19" s="116"/>
      <c r="AHD19" s="116"/>
      <c r="AHE19" s="116"/>
      <c r="AHF19" s="116"/>
      <c r="AHG19" s="116"/>
      <c r="AHH19" s="116"/>
      <c r="AHI19" s="116"/>
      <c r="AHJ19" s="116"/>
      <c r="AHK19" s="116"/>
      <c r="AHL19" s="116"/>
      <c r="AHM19" s="116"/>
      <c r="AHN19" s="116"/>
      <c r="AHO19" s="116"/>
      <c r="AHP19" s="116"/>
      <c r="AHQ19" s="116"/>
      <c r="AHR19" s="116"/>
      <c r="AHS19" s="116"/>
      <c r="AHT19" s="116"/>
      <c r="AHU19" s="116"/>
      <c r="AHV19" s="116"/>
      <c r="AHW19" s="116"/>
      <c r="AHX19" s="116"/>
      <c r="AHY19" s="116"/>
      <c r="AHZ19" s="116"/>
      <c r="AIA19" s="116"/>
      <c r="AIB19" s="116"/>
      <c r="AIC19" s="116"/>
      <c r="AID19" s="116"/>
      <c r="AIE19" s="116"/>
      <c r="AIF19" s="116"/>
      <c r="AIG19" s="116"/>
      <c r="AIH19" s="116"/>
      <c r="AII19" s="116"/>
      <c r="AIJ19" s="116"/>
      <c r="AIK19" s="116"/>
      <c r="AIL19" s="116"/>
      <c r="AIM19" s="116"/>
      <c r="AIN19" s="116"/>
      <c r="AIO19" s="116"/>
      <c r="AIP19" s="116"/>
      <c r="AIQ19" s="116"/>
      <c r="AIR19" s="116"/>
      <c r="AIS19" s="116"/>
      <c r="AIT19" s="116"/>
      <c r="AIU19" s="116"/>
      <c r="AIV19" s="116"/>
      <c r="AIW19" s="116"/>
      <c r="AIX19" s="116"/>
      <c r="AIY19" s="116"/>
      <c r="AIZ19" s="116"/>
      <c r="AJA19" s="116"/>
      <c r="AJB19" s="116"/>
      <c r="AJC19" s="116"/>
      <c r="AJD19" s="116"/>
      <c r="AJE19" s="116"/>
      <c r="AJF19" s="116"/>
      <c r="AJG19" s="116"/>
      <c r="AJH19" s="116"/>
      <c r="AJI19" s="116"/>
      <c r="AJJ19" s="116"/>
      <c r="AJK19" s="116"/>
      <c r="AJL19" s="116"/>
      <c r="AJM19" s="116"/>
      <c r="AJN19" s="116"/>
      <c r="AJO19" s="116"/>
      <c r="AJP19" s="116"/>
      <c r="AJQ19" s="116"/>
      <c r="AJR19" s="116"/>
      <c r="AJS19" s="116"/>
      <c r="AJT19" s="116"/>
      <c r="AJU19" s="116"/>
      <c r="AJV19" s="116"/>
      <c r="AJW19" s="116"/>
      <c r="AJX19" s="116"/>
      <c r="AJY19" s="116"/>
      <c r="AJZ19" s="116"/>
      <c r="AKA19" s="116"/>
      <c r="AKB19" s="116"/>
      <c r="AKC19" s="116"/>
      <c r="AKD19" s="116"/>
      <c r="AKE19" s="116"/>
      <c r="AKF19" s="116"/>
      <c r="AKG19" s="116"/>
      <c r="AKH19" s="116"/>
      <c r="AKI19" s="116"/>
      <c r="AKJ19" s="116"/>
      <c r="AKK19" s="116"/>
      <c r="AKL19" s="116"/>
      <c r="AKM19" s="116"/>
      <c r="AKN19" s="116"/>
      <c r="AKO19" s="116"/>
      <c r="AKP19" s="116"/>
      <c r="AKQ19" s="116"/>
      <c r="AKR19" s="116"/>
      <c r="AKS19" s="116"/>
      <c r="AKT19" s="116"/>
      <c r="AKU19" s="116"/>
      <c r="AKV19" s="116"/>
      <c r="AKW19" s="116"/>
      <c r="AKX19" s="116"/>
      <c r="AKY19" s="116"/>
      <c r="AKZ19" s="116"/>
      <c r="ALA19" s="116"/>
      <c r="ALB19" s="116"/>
      <c r="ALC19" s="116"/>
      <c r="ALD19" s="116"/>
      <c r="ALE19" s="116"/>
      <c r="ALF19" s="116"/>
      <c r="ALG19" s="116"/>
      <c r="ALH19" s="116"/>
      <c r="ALI19" s="116"/>
      <c r="ALJ19" s="116"/>
      <c r="ALK19" s="116"/>
      <c r="ALL19" s="116"/>
      <c r="ALM19" s="116"/>
      <c r="ALN19" s="116"/>
      <c r="ALO19" s="116"/>
      <c r="ALP19" s="116"/>
      <c r="ALQ19" s="116"/>
      <c r="ALR19" s="116"/>
      <c r="ALS19" s="116"/>
      <c r="ALT19" s="116"/>
      <c r="ALU19" s="116"/>
      <c r="ALV19" s="116"/>
      <c r="ALW19" s="116"/>
      <c r="ALX19" s="116"/>
      <c r="ALY19" s="116"/>
      <c r="ALZ19" s="116"/>
      <c r="AMA19" s="116"/>
      <c r="AMB19" s="116"/>
      <c r="AMC19" s="116"/>
    </row>
    <row r="20" spans="1:1017" ht="18.75" customHeight="1" x14ac:dyDescent="0.35">
      <c r="A20" s="567"/>
      <c r="B20" s="567"/>
      <c r="C20" s="567"/>
      <c r="D20" s="567"/>
      <c r="E20" s="567"/>
      <c r="F20" s="567"/>
      <c r="G20" s="567"/>
      <c r="H20" s="567"/>
      <c r="I20" s="567"/>
      <c r="J20" s="66"/>
    </row>
    <row r="21" spans="1:1017" ht="19.5" customHeight="1" x14ac:dyDescent="0.35">
      <c r="A21" s="577" t="s">
        <v>214</v>
      </c>
      <c r="B21" s="577"/>
      <c r="C21" s="577"/>
      <c r="D21" s="577"/>
      <c r="E21" s="577"/>
      <c r="F21" s="577"/>
      <c r="G21" s="577"/>
      <c r="H21" s="577"/>
      <c r="I21" s="577"/>
      <c r="J21" s="66"/>
    </row>
    <row r="22" spans="1:1017" ht="19.5" customHeight="1" x14ac:dyDescent="0.35">
      <c r="A22" s="67">
        <v>3</v>
      </c>
      <c r="B22" s="568" t="s">
        <v>50</v>
      </c>
      <c r="C22" s="568"/>
      <c r="D22" s="568"/>
      <c r="E22" s="568"/>
      <c r="F22" s="568"/>
      <c r="G22" s="568"/>
      <c r="H22" s="622">
        <v>1121.2</v>
      </c>
      <c r="I22" s="622"/>
    </row>
    <row r="23" spans="1:1017" ht="19.5" customHeight="1" x14ac:dyDescent="0.35">
      <c r="A23" s="67">
        <v>4</v>
      </c>
      <c r="B23" s="568" t="s">
        <v>51</v>
      </c>
      <c r="C23" s="568"/>
      <c r="D23" s="568"/>
      <c r="E23" s="568"/>
      <c r="F23" s="568"/>
      <c r="G23" s="568"/>
      <c r="H23" s="623" t="s">
        <v>299</v>
      </c>
      <c r="I23" s="623"/>
    </row>
    <row r="24" spans="1:1017" ht="19.5" customHeight="1" x14ac:dyDescent="0.35">
      <c r="A24" s="67">
        <v>5</v>
      </c>
      <c r="B24" s="568" t="s">
        <v>52</v>
      </c>
      <c r="C24" s="568"/>
      <c r="D24" s="568"/>
      <c r="E24" s="568"/>
      <c r="F24" s="568"/>
      <c r="G24" s="568"/>
      <c r="H24" s="623">
        <v>43831</v>
      </c>
      <c r="I24" s="623"/>
    </row>
    <row r="25" spans="1:1017" ht="30.75" customHeight="1" x14ac:dyDescent="0.35">
      <c r="A25" s="130">
        <v>6</v>
      </c>
      <c r="B25" s="568" t="s">
        <v>304</v>
      </c>
      <c r="C25" s="568"/>
      <c r="D25" s="568"/>
      <c r="E25" s="568"/>
      <c r="F25" s="568"/>
      <c r="G25" s="568"/>
      <c r="H25" s="620">
        <f>ROUND((H22/220),2)</f>
        <v>5.0999999999999996</v>
      </c>
      <c r="I25" s="620"/>
    </row>
    <row r="26" spans="1:1017" ht="30.75" customHeight="1" x14ac:dyDescent="0.35">
      <c r="A26" s="130">
        <v>7</v>
      </c>
      <c r="B26" s="568" t="s">
        <v>305</v>
      </c>
      <c r="C26" s="568"/>
      <c r="D26" s="568"/>
      <c r="E26" s="568"/>
      <c r="F26" s="568"/>
      <c r="G26" s="568"/>
      <c r="H26" s="628">
        <f>ROUND(H25*1.75,2)</f>
        <v>8.93</v>
      </c>
      <c r="I26" s="628"/>
    </row>
    <row r="27" spans="1:1017" ht="30.75" customHeight="1" x14ac:dyDescent="0.35">
      <c r="A27" s="130">
        <v>8</v>
      </c>
      <c r="B27" s="568" t="s">
        <v>362</v>
      </c>
      <c r="C27" s="568"/>
      <c r="D27" s="568"/>
      <c r="E27" s="568"/>
      <c r="F27" s="568"/>
      <c r="G27" s="568"/>
      <c r="H27" s="628">
        <f>ROUND(H25*0.21,2)</f>
        <v>1.07</v>
      </c>
      <c r="I27" s="628"/>
    </row>
    <row r="28" spans="1:1017" ht="19.5" customHeight="1" x14ac:dyDescent="0.35">
      <c r="A28" s="130">
        <v>10</v>
      </c>
      <c r="B28" s="573" t="s">
        <v>63</v>
      </c>
      <c r="C28" s="573"/>
      <c r="D28" s="573"/>
      <c r="E28" s="573"/>
      <c r="F28" s="573"/>
      <c r="G28" s="573"/>
      <c r="H28" s="620">
        <v>2</v>
      </c>
      <c r="I28" s="620"/>
    </row>
    <row r="29" spans="1:1017" ht="18.75" customHeight="1" x14ac:dyDescent="0.35">
      <c r="A29" s="604"/>
      <c r="B29" s="604"/>
      <c r="C29" s="604"/>
      <c r="D29" s="604"/>
      <c r="E29" s="604"/>
      <c r="F29" s="604"/>
      <c r="G29" s="604"/>
      <c r="H29" s="604"/>
      <c r="I29" s="604"/>
    </row>
    <row r="30" spans="1:1017" ht="19.5" customHeight="1" x14ac:dyDescent="0.35">
      <c r="A30" s="577" t="s">
        <v>307</v>
      </c>
      <c r="B30" s="577"/>
      <c r="C30" s="577"/>
      <c r="D30" s="577"/>
      <c r="E30" s="577"/>
      <c r="F30" s="577"/>
      <c r="G30" s="577"/>
      <c r="H30" s="577"/>
      <c r="I30" s="577"/>
    </row>
    <row r="31" spans="1:1017" ht="19.5" customHeight="1" x14ac:dyDescent="0.35">
      <c r="A31" s="117">
        <v>1</v>
      </c>
      <c r="B31" s="586" t="s">
        <v>308</v>
      </c>
      <c r="C31" s="586"/>
      <c r="D31" s="586"/>
      <c r="E31" s="586"/>
      <c r="F31" s="586"/>
      <c r="G31" s="586"/>
      <c r="H31" s="117" t="s">
        <v>221</v>
      </c>
      <c r="I31" s="117" t="s">
        <v>85</v>
      </c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1"/>
      <c r="DD31" s="131"/>
      <c r="DE31" s="131"/>
      <c r="DF31" s="131"/>
      <c r="DG31" s="131"/>
      <c r="DH31" s="131"/>
      <c r="DI31" s="131"/>
      <c r="DJ31" s="131"/>
      <c r="DK31" s="131"/>
      <c r="DL31" s="131"/>
      <c r="DM31" s="131"/>
      <c r="DN31" s="131"/>
      <c r="DO31" s="131"/>
      <c r="DP31" s="131"/>
      <c r="DQ31" s="131"/>
      <c r="DR31" s="131"/>
      <c r="DS31" s="131"/>
      <c r="DT31" s="131"/>
      <c r="DU31" s="131"/>
      <c r="DV31" s="131"/>
      <c r="DW31" s="131"/>
      <c r="DX31" s="131"/>
      <c r="DY31" s="131"/>
      <c r="DZ31" s="131"/>
      <c r="EA31" s="131"/>
      <c r="EB31" s="131"/>
      <c r="EC31" s="131"/>
      <c r="ED31" s="131"/>
      <c r="EE31" s="131"/>
      <c r="EF31" s="131"/>
      <c r="EG31" s="131"/>
      <c r="EH31" s="131"/>
      <c r="EI31" s="131"/>
      <c r="EJ31" s="131"/>
      <c r="EK31" s="131"/>
      <c r="EL31" s="131"/>
      <c r="EM31" s="131"/>
      <c r="EN31" s="131"/>
      <c r="EO31" s="131"/>
      <c r="EP31" s="131"/>
      <c r="EQ31" s="131"/>
      <c r="ER31" s="131"/>
      <c r="ES31" s="131"/>
      <c r="ET31" s="131"/>
      <c r="EU31" s="131"/>
      <c r="EV31" s="131"/>
      <c r="EW31" s="131"/>
      <c r="EX31" s="131"/>
      <c r="EY31" s="131"/>
      <c r="EZ31" s="131"/>
      <c r="FA31" s="131"/>
      <c r="FB31" s="131"/>
      <c r="FC31" s="131"/>
      <c r="FD31" s="131"/>
      <c r="FE31" s="131"/>
      <c r="FF31" s="131"/>
      <c r="FG31" s="131"/>
      <c r="FH31" s="131"/>
      <c r="FI31" s="131"/>
      <c r="FJ31" s="131"/>
      <c r="FK31" s="131"/>
      <c r="FL31" s="131"/>
      <c r="FM31" s="131"/>
      <c r="FN31" s="131"/>
      <c r="FO31" s="131"/>
      <c r="FP31" s="131"/>
      <c r="FQ31" s="131"/>
      <c r="FR31" s="131"/>
      <c r="FS31" s="131"/>
      <c r="FT31" s="131"/>
      <c r="FU31" s="131"/>
      <c r="FV31" s="131"/>
      <c r="FW31" s="131"/>
      <c r="FX31" s="131"/>
      <c r="FY31" s="131"/>
      <c r="FZ31" s="131"/>
      <c r="GA31" s="131"/>
      <c r="GB31" s="131"/>
      <c r="GC31" s="131"/>
      <c r="GD31" s="131"/>
      <c r="GE31" s="131"/>
      <c r="GF31" s="131"/>
      <c r="GG31" s="131"/>
      <c r="GH31" s="131"/>
      <c r="GI31" s="131"/>
      <c r="GJ31" s="131"/>
      <c r="GK31" s="131"/>
      <c r="GL31" s="131"/>
      <c r="GM31" s="131"/>
      <c r="GN31" s="131"/>
      <c r="GO31" s="131"/>
      <c r="GP31" s="131"/>
      <c r="GQ31" s="131"/>
      <c r="GR31" s="131"/>
      <c r="GS31" s="131"/>
      <c r="GT31" s="131"/>
      <c r="GU31" s="131"/>
      <c r="GV31" s="131"/>
      <c r="GW31" s="131"/>
      <c r="GX31" s="131"/>
      <c r="GY31" s="131"/>
      <c r="GZ31" s="131"/>
      <c r="HA31" s="131"/>
      <c r="HB31" s="131"/>
      <c r="HC31" s="131"/>
      <c r="HD31" s="131"/>
      <c r="HE31" s="131"/>
      <c r="HF31" s="131"/>
      <c r="HG31" s="131"/>
      <c r="HH31" s="131"/>
      <c r="HI31" s="131"/>
      <c r="HJ31" s="131"/>
      <c r="HK31" s="131"/>
      <c r="HL31" s="131"/>
      <c r="HM31" s="131"/>
      <c r="HN31" s="131"/>
      <c r="HO31" s="131"/>
      <c r="HP31" s="131"/>
      <c r="HQ31" s="131"/>
      <c r="HR31" s="131"/>
      <c r="HS31" s="131"/>
      <c r="HT31" s="131"/>
      <c r="HU31" s="131"/>
      <c r="HV31" s="131"/>
      <c r="HW31" s="131"/>
      <c r="HX31" s="131"/>
      <c r="HY31" s="131"/>
      <c r="HZ31" s="131"/>
      <c r="IA31" s="131"/>
      <c r="IB31" s="131"/>
      <c r="IC31" s="131"/>
      <c r="ID31" s="131"/>
      <c r="IE31" s="131"/>
      <c r="IF31" s="131"/>
      <c r="IG31" s="131"/>
      <c r="IH31" s="131"/>
      <c r="II31" s="131"/>
      <c r="IJ31" s="131"/>
      <c r="IK31" s="131"/>
      <c r="IL31" s="131"/>
      <c r="IM31" s="131"/>
      <c r="IN31" s="131"/>
      <c r="IO31" s="131"/>
      <c r="IP31" s="131"/>
      <c r="IQ31" s="131"/>
      <c r="IR31" s="131"/>
      <c r="IS31" s="131"/>
      <c r="IT31" s="131"/>
      <c r="IU31" s="131"/>
      <c r="IV31" s="131"/>
      <c r="IW31" s="131"/>
      <c r="IX31" s="131"/>
      <c r="IY31" s="131"/>
      <c r="IZ31" s="131"/>
      <c r="JA31" s="131"/>
      <c r="JB31" s="131"/>
      <c r="JC31" s="131"/>
      <c r="JD31" s="131"/>
      <c r="JE31" s="131"/>
      <c r="JF31" s="131"/>
      <c r="JG31" s="131"/>
      <c r="JH31" s="131"/>
      <c r="JI31" s="131"/>
      <c r="JJ31" s="131"/>
      <c r="JK31" s="131"/>
      <c r="JL31" s="131"/>
      <c r="JM31" s="131"/>
      <c r="JN31" s="131"/>
      <c r="JO31" s="131"/>
      <c r="JP31" s="131"/>
      <c r="JQ31" s="131"/>
      <c r="JR31" s="131"/>
      <c r="JS31" s="131"/>
      <c r="JT31" s="131"/>
      <c r="JU31" s="131"/>
      <c r="JV31" s="131"/>
      <c r="JW31" s="131"/>
      <c r="JX31" s="131"/>
      <c r="JY31" s="131"/>
      <c r="JZ31" s="131"/>
      <c r="KA31" s="131"/>
      <c r="KB31" s="131"/>
      <c r="KC31" s="131"/>
      <c r="KD31" s="131"/>
      <c r="KE31" s="131"/>
      <c r="KF31" s="131"/>
      <c r="KG31" s="131"/>
      <c r="KH31" s="131"/>
      <c r="KI31" s="131"/>
      <c r="KJ31" s="131"/>
      <c r="KK31" s="131"/>
      <c r="KL31" s="131"/>
      <c r="KM31" s="131"/>
      <c r="KN31" s="131"/>
      <c r="KO31" s="131"/>
      <c r="KP31" s="131"/>
      <c r="KQ31" s="131"/>
      <c r="KR31" s="131"/>
      <c r="KS31" s="131"/>
      <c r="KT31" s="131"/>
      <c r="KU31" s="131"/>
      <c r="KV31" s="131"/>
      <c r="KW31" s="131"/>
      <c r="KX31" s="131"/>
      <c r="KY31" s="131"/>
      <c r="KZ31" s="131"/>
      <c r="LA31" s="131"/>
      <c r="LB31" s="131"/>
      <c r="LC31" s="131"/>
      <c r="LD31" s="131"/>
      <c r="LE31" s="131"/>
      <c r="LF31" s="131"/>
      <c r="LG31" s="131"/>
      <c r="LH31" s="131"/>
      <c r="LI31" s="131"/>
      <c r="LJ31" s="131"/>
      <c r="LK31" s="131"/>
      <c r="LL31" s="131"/>
      <c r="LM31" s="131"/>
      <c r="LN31" s="131"/>
      <c r="LO31" s="131"/>
      <c r="LP31" s="131"/>
      <c r="LQ31" s="131"/>
      <c r="LR31" s="131"/>
      <c r="LS31" s="131"/>
      <c r="LT31" s="131"/>
      <c r="LU31" s="131"/>
      <c r="LV31" s="131"/>
      <c r="LW31" s="131"/>
      <c r="LX31" s="131"/>
      <c r="LY31" s="131"/>
      <c r="LZ31" s="131"/>
      <c r="MA31" s="131"/>
      <c r="MB31" s="131"/>
      <c r="MC31" s="131"/>
      <c r="MD31" s="131"/>
      <c r="ME31" s="131"/>
      <c r="MF31" s="131"/>
      <c r="MG31" s="131"/>
      <c r="MH31" s="131"/>
      <c r="MI31" s="131"/>
      <c r="MJ31" s="131"/>
      <c r="MK31" s="131"/>
      <c r="ML31" s="131"/>
      <c r="MM31" s="131"/>
      <c r="MN31" s="131"/>
      <c r="MO31" s="131"/>
      <c r="MP31" s="131"/>
      <c r="MQ31" s="131"/>
      <c r="MR31" s="131"/>
      <c r="MS31" s="131"/>
      <c r="MT31" s="131"/>
      <c r="MU31" s="131"/>
      <c r="MV31" s="131"/>
      <c r="MW31" s="131"/>
      <c r="MX31" s="131"/>
      <c r="MY31" s="131"/>
      <c r="MZ31" s="131"/>
      <c r="NA31" s="131"/>
      <c r="NB31" s="131"/>
      <c r="NC31" s="131"/>
      <c r="ND31" s="131"/>
      <c r="NE31" s="131"/>
      <c r="NF31" s="131"/>
      <c r="NG31" s="131"/>
      <c r="NH31" s="131"/>
      <c r="NI31" s="131"/>
      <c r="NJ31" s="131"/>
      <c r="NK31" s="131"/>
      <c r="NL31" s="131"/>
      <c r="NM31" s="131"/>
      <c r="NN31" s="131"/>
      <c r="NO31" s="131"/>
      <c r="NP31" s="131"/>
      <c r="NQ31" s="131"/>
      <c r="NR31" s="131"/>
      <c r="NS31" s="131"/>
      <c r="NT31" s="131"/>
      <c r="NU31" s="131"/>
      <c r="NV31" s="131"/>
      <c r="NW31" s="131"/>
      <c r="NX31" s="131"/>
      <c r="NY31" s="131"/>
      <c r="NZ31" s="131"/>
      <c r="OA31" s="131"/>
      <c r="OB31" s="131"/>
      <c r="OC31" s="131"/>
      <c r="OD31" s="131"/>
      <c r="OE31" s="131"/>
      <c r="OF31" s="131"/>
      <c r="OG31" s="131"/>
      <c r="OH31" s="131"/>
      <c r="OI31" s="131"/>
      <c r="OJ31" s="131"/>
      <c r="OK31" s="131"/>
      <c r="OL31" s="131"/>
      <c r="OM31" s="131"/>
      <c r="ON31" s="131"/>
      <c r="OO31" s="131"/>
      <c r="OP31" s="131"/>
      <c r="OQ31" s="131"/>
      <c r="OR31" s="131"/>
      <c r="OS31" s="131"/>
      <c r="OT31" s="131"/>
      <c r="OU31" s="131"/>
      <c r="OV31" s="131"/>
      <c r="OW31" s="131"/>
      <c r="OX31" s="131"/>
      <c r="OY31" s="131"/>
      <c r="OZ31" s="131"/>
      <c r="PA31" s="131"/>
      <c r="PB31" s="131"/>
      <c r="PC31" s="131"/>
      <c r="PD31" s="131"/>
      <c r="PE31" s="131"/>
      <c r="PF31" s="131"/>
      <c r="PG31" s="131"/>
      <c r="PH31" s="131"/>
      <c r="PI31" s="131"/>
      <c r="PJ31" s="131"/>
      <c r="PK31" s="131"/>
      <c r="PL31" s="131"/>
      <c r="PM31" s="131"/>
      <c r="PN31" s="131"/>
      <c r="PO31" s="131"/>
      <c r="PP31" s="131"/>
      <c r="PQ31" s="131"/>
      <c r="PR31" s="131"/>
      <c r="PS31" s="131"/>
      <c r="PT31" s="131"/>
      <c r="PU31" s="131"/>
      <c r="PV31" s="131"/>
      <c r="PW31" s="131"/>
      <c r="PX31" s="131"/>
      <c r="PY31" s="131"/>
      <c r="PZ31" s="131"/>
      <c r="QA31" s="131"/>
      <c r="QB31" s="131"/>
      <c r="QC31" s="131"/>
      <c r="QD31" s="131"/>
      <c r="QE31" s="131"/>
      <c r="QF31" s="131"/>
      <c r="QG31" s="131"/>
      <c r="QH31" s="131"/>
      <c r="QI31" s="131"/>
      <c r="QJ31" s="131"/>
      <c r="QK31" s="131"/>
      <c r="QL31" s="131"/>
      <c r="QM31" s="131"/>
      <c r="QN31" s="131"/>
      <c r="QO31" s="131"/>
      <c r="QP31" s="131"/>
      <c r="QQ31" s="131"/>
      <c r="QR31" s="131"/>
      <c r="QS31" s="131"/>
      <c r="QT31" s="131"/>
      <c r="QU31" s="131"/>
      <c r="QV31" s="131"/>
      <c r="QW31" s="131"/>
      <c r="QX31" s="131"/>
      <c r="QY31" s="131"/>
      <c r="QZ31" s="131"/>
      <c r="RA31" s="131"/>
      <c r="RB31" s="131"/>
      <c r="RC31" s="131"/>
      <c r="RD31" s="131"/>
      <c r="RE31" s="131"/>
      <c r="RF31" s="131"/>
      <c r="RG31" s="131"/>
      <c r="RH31" s="131"/>
      <c r="RI31" s="131"/>
      <c r="RJ31" s="131"/>
      <c r="RK31" s="131"/>
      <c r="RL31" s="131"/>
      <c r="RM31" s="131"/>
      <c r="RN31" s="131"/>
      <c r="RO31" s="131"/>
      <c r="RP31" s="131"/>
      <c r="RQ31" s="131"/>
      <c r="RR31" s="131"/>
      <c r="RS31" s="131"/>
      <c r="RT31" s="131"/>
      <c r="RU31" s="131"/>
      <c r="RV31" s="131"/>
      <c r="RW31" s="131"/>
      <c r="RX31" s="131"/>
      <c r="RY31" s="131"/>
      <c r="RZ31" s="131"/>
      <c r="SA31" s="131"/>
      <c r="SB31" s="131"/>
      <c r="SC31" s="131"/>
      <c r="SD31" s="131"/>
      <c r="SE31" s="131"/>
      <c r="SF31" s="131"/>
      <c r="SG31" s="131"/>
      <c r="SH31" s="131"/>
      <c r="SI31" s="131"/>
      <c r="SJ31" s="131"/>
      <c r="SK31" s="131"/>
      <c r="SL31" s="131"/>
      <c r="SM31" s="131"/>
      <c r="SN31" s="131"/>
      <c r="SO31" s="131"/>
      <c r="SP31" s="131"/>
      <c r="SQ31" s="131"/>
      <c r="SR31" s="131"/>
      <c r="SS31" s="131"/>
      <c r="ST31" s="131"/>
      <c r="SU31" s="131"/>
      <c r="SV31" s="131"/>
      <c r="SW31" s="131"/>
      <c r="SX31" s="131"/>
      <c r="SY31" s="131"/>
      <c r="SZ31" s="131"/>
      <c r="TA31" s="131"/>
      <c r="TB31" s="131"/>
      <c r="TC31" s="131"/>
      <c r="TD31" s="131"/>
      <c r="TE31" s="131"/>
      <c r="TF31" s="131"/>
      <c r="TG31" s="131"/>
      <c r="TH31" s="131"/>
      <c r="TI31" s="131"/>
      <c r="TJ31" s="131"/>
      <c r="TK31" s="131"/>
      <c r="TL31" s="131"/>
      <c r="TM31" s="131"/>
      <c r="TN31" s="131"/>
      <c r="TO31" s="131"/>
      <c r="TP31" s="131"/>
      <c r="TQ31" s="131"/>
      <c r="TR31" s="131"/>
      <c r="TS31" s="131"/>
      <c r="TT31" s="131"/>
      <c r="TU31" s="131"/>
      <c r="TV31" s="131"/>
      <c r="TW31" s="131"/>
      <c r="TX31" s="131"/>
      <c r="TY31" s="131"/>
      <c r="TZ31" s="131"/>
      <c r="UA31" s="131"/>
      <c r="UB31" s="131"/>
      <c r="UC31" s="131"/>
      <c r="UD31" s="131"/>
      <c r="UE31" s="131"/>
      <c r="UF31" s="131"/>
      <c r="UG31" s="131"/>
      <c r="UH31" s="131"/>
      <c r="UI31" s="131"/>
      <c r="UJ31" s="131"/>
      <c r="UK31" s="131"/>
      <c r="UL31" s="131"/>
      <c r="UM31" s="131"/>
      <c r="UN31" s="131"/>
      <c r="UO31" s="131"/>
      <c r="UP31" s="131"/>
      <c r="UQ31" s="131"/>
      <c r="UR31" s="131"/>
      <c r="US31" s="131"/>
      <c r="UT31" s="131"/>
      <c r="UU31" s="131"/>
      <c r="UV31" s="131"/>
      <c r="UW31" s="131"/>
      <c r="UX31" s="131"/>
      <c r="UY31" s="131"/>
      <c r="UZ31" s="131"/>
      <c r="VA31" s="131"/>
      <c r="VB31" s="131"/>
      <c r="VC31" s="131"/>
      <c r="VD31" s="131"/>
      <c r="VE31" s="131"/>
      <c r="VF31" s="131"/>
      <c r="VG31" s="131"/>
      <c r="VH31" s="131"/>
      <c r="VI31" s="131"/>
      <c r="VJ31" s="131"/>
      <c r="VK31" s="131"/>
      <c r="VL31" s="131"/>
      <c r="VM31" s="131"/>
      <c r="VN31" s="131"/>
      <c r="VO31" s="131"/>
      <c r="VP31" s="131"/>
      <c r="VQ31" s="131"/>
      <c r="VR31" s="131"/>
      <c r="VS31" s="131"/>
      <c r="VT31" s="131"/>
      <c r="VU31" s="131"/>
      <c r="VV31" s="131"/>
      <c r="VW31" s="131"/>
      <c r="VX31" s="131"/>
      <c r="VY31" s="131"/>
      <c r="VZ31" s="131"/>
      <c r="WA31" s="131"/>
      <c r="WB31" s="131"/>
      <c r="WC31" s="131"/>
      <c r="WD31" s="131"/>
      <c r="WE31" s="131"/>
      <c r="WF31" s="131"/>
      <c r="WG31" s="131"/>
      <c r="WH31" s="131"/>
      <c r="WI31" s="131"/>
      <c r="WJ31" s="131"/>
      <c r="WK31" s="131"/>
      <c r="WL31" s="131"/>
      <c r="WM31" s="131"/>
      <c r="WN31" s="131"/>
      <c r="WO31" s="131"/>
      <c r="WP31" s="131"/>
      <c r="WQ31" s="131"/>
      <c r="WR31" s="131"/>
      <c r="WS31" s="131"/>
      <c r="WT31" s="131"/>
      <c r="WU31" s="131"/>
      <c r="WV31" s="131"/>
      <c r="WW31" s="131"/>
      <c r="WX31" s="131"/>
      <c r="WY31" s="131"/>
      <c r="WZ31" s="131"/>
      <c r="XA31" s="131"/>
      <c r="XB31" s="131"/>
      <c r="XC31" s="131"/>
      <c r="XD31" s="131"/>
      <c r="XE31" s="131"/>
      <c r="XF31" s="131"/>
      <c r="XG31" s="131"/>
      <c r="XH31" s="131"/>
      <c r="XI31" s="131"/>
      <c r="XJ31" s="131"/>
      <c r="XK31" s="131"/>
      <c r="XL31" s="131"/>
      <c r="XM31" s="131"/>
      <c r="XN31" s="131"/>
      <c r="XO31" s="131"/>
      <c r="XP31" s="131"/>
      <c r="XQ31" s="131"/>
      <c r="XR31" s="131"/>
      <c r="XS31" s="131"/>
      <c r="XT31" s="131"/>
      <c r="XU31" s="131"/>
      <c r="XV31" s="131"/>
      <c r="XW31" s="131"/>
      <c r="XX31" s="131"/>
      <c r="XY31" s="131"/>
      <c r="XZ31" s="131"/>
      <c r="YA31" s="131"/>
      <c r="YB31" s="131"/>
      <c r="YC31" s="131"/>
      <c r="YD31" s="131"/>
      <c r="YE31" s="131"/>
      <c r="YF31" s="131"/>
      <c r="YG31" s="131"/>
      <c r="YH31" s="131"/>
      <c r="YI31" s="131"/>
      <c r="YJ31" s="131"/>
      <c r="YK31" s="131"/>
      <c r="YL31" s="131"/>
      <c r="YM31" s="131"/>
      <c r="YN31" s="131"/>
      <c r="YO31" s="131"/>
      <c r="YP31" s="131"/>
      <c r="YQ31" s="131"/>
      <c r="YR31" s="131"/>
      <c r="YS31" s="131"/>
      <c r="YT31" s="131"/>
      <c r="YU31" s="131"/>
      <c r="YV31" s="131"/>
      <c r="YW31" s="131"/>
      <c r="YX31" s="131"/>
      <c r="YY31" s="131"/>
      <c r="YZ31" s="131"/>
      <c r="ZA31" s="131"/>
      <c r="ZB31" s="131"/>
      <c r="ZC31" s="131"/>
      <c r="ZD31" s="131"/>
      <c r="ZE31" s="131"/>
      <c r="ZF31" s="131"/>
      <c r="ZG31" s="131"/>
      <c r="ZH31" s="131"/>
      <c r="ZI31" s="131"/>
      <c r="ZJ31" s="131"/>
      <c r="ZK31" s="131"/>
      <c r="ZL31" s="131"/>
      <c r="ZM31" s="131"/>
      <c r="ZN31" s="131"/>
      <c r="ZO31" s="131"/>
      <c r="ZP31" s="131"/>
      <c r="ZQ31" s="131"/>
      <c r="ZR31" s="131"/>
      <c r="ZS31" s="131"/>
      <c r="ZT31" s="131"/>
      <c r="ZU31" s="131"/>
      <c r="ZV31" s="131"/>
      <c r="ZW31" s="131"/>
      <c r="ZX31" s="131"/>
      <c r="ZY31" s="131"/>
      <c r="ZZ31" s="131"/>
      <c r="AAA31" s="131"/>
      <c r="AAB31" s="131"/>
      <c r="AAC31" s="131"/>
      <c r="AAD31" s="131"/>
      <c r="AAE31" s="131"/>
      <c r="AAF31" s="131"/>
      <c r="AAG31" s="131"/>
      <c r="AAH31" s="131"/>
      <c r="AAI31" s="131"/>
      <c r="AAJ31" s="131"/>
      <c r="AAK31" s="131"/>
      <c r="AAL31" s="131"/>
      <c r="AAM31" s="131"/>
      <c r="AAN31" s="131"/>
      <c r="AAO31" s="131"/>
      <c r="AAP31" s="131"/>
      <c r="AAQ31" s="131"/>
      <c r="AAR31" s="131"/>
      <c r="AAS31" s="131"/>
      <c r="AAT31" s="131"/>
      <c r="AAU31" s="131"/>
      <c r="AAV31" s="131"/>
      <c r="AAW31" s="131"/>
      <c r="AAX31" s="131"/>
      <c r="AAY31" s="131"/>
      <c r="AAZ31" s="131"/>
      <c r="ABA31" s="131"/>
      <c r="ABB31" s="131"/>
      <c r="ABC31" s="131"/>
      <c r="ABD31" s="131"/>
      <c r="ABE31" s="131"/>
      <c r="ABF31" s="131"/>
      <c r="ABG31" s="131"/>
      <c r="ABH31" s="131"/>
      <c r="ABI31" s="131"/>
      <c r="ABJ31" s="131"/>
      <c r="ABK31" s="131"/>
      <c r="ABL31" s="131"/>
      <c r="ABM31" s="131"/>
      <c r="ABN31" s="131"/>
      <c r="ABO31" s="131"/>
      <c r="ABP31" s="131"/>
      <c r="ABQ31" s="131"/>
      <c r="ABR31" s="131"/>
      <c r="ABS31" s="131"/>
      <c r="ABT31" s="131"/>
      <c r="ABU31" s="131"/>
      <c r="ABV31" s="131"/>
      <c r="ABW31" s="131"/>
      <c r="ABX31" s="131"/>
      <c r="ABY31" s="131"/>
      <c r="ABZ31" s="131"/>
      <c r="ACA31" s="131"/>
      <c r="ACB31" s="131"/>
      <c r="ACC31" s="131"/>
      <c r="ACD31" s="131"/>
      <c r="ACE31" s="131"/>
      <c r="ACF31" s="131"/>
      <c r="ACG31" s="131"/>
      <c r="ACH31" s="131"/>
      <c r="ACI31" s="131"/>
      <c r="ACJ31" s="131"/>
      <c r="ACK31" s="131"/>
      <c r="ACL31" s="131"/>
      <c r="ACM31" s="131"/>
      <c r="ACN31" s="131"/>
      <c r="ACO31" s="131"/>
      <c r="ACP31" s="131"/>
      <c r="ACQ31" s="131"/>
      <c r="ACR31" s="131"/>
      <c r="ACS31" s="131"/>
      <c r="ACT31" s="131"/>
      <c r="ACU31" s="131"/>
      <c r="ACV31" s="131"/>
      <c r="ACW31" s="131"/>
      <c r="ACX31" s="131"/>
      <c r="ACY31" s="131"/>
      <c r="ACZ31" s="131"/>
      <c r="ADA31" s="131"/>
      <c r="ADB31" s="131"/>
      <c r="ADC31" s="131"/>
      <c r="ADD31" s="131"/>
      <c r="ADE31" s="131"/>
      <c r="ADF31" s="131"/>
      <c r="ADG31" s="131"/>
      <c r="ADH31" s="131"/>
      <c r="ADI31" s="131"/>
      <c r="ADJ31" s="131"/>
      <c r="ADK31" s="131"/>
      <c r="ADL31" s="131"/>
      <c r="ADM31" s="131"/>
      <c r="ADN31" s="131"/>
      <c r="ADO31" s="131"/>
      <c r="ADP31" s="131"/>
      <c r="ADQ31" s="131"/>
      <c r="ADR31" s="131"/>
      <c r="ADS31" s="131"/>
      <c r="ADT31" s="131"/>
      <c r="ADU31" s="131"/>
      <c r="ADV31" s="131"/>
      <c r="ADW31" s="131"/>
      <c r="ADX31" s="131"/>
      <c r="ADY31" s="131"/>
      <c r="ADZ31" s="131"/>
      <c r="AEA31" s="131"/>
      <c r="AEB31" s="131"/>
      <c r="AEC31" s="131"/>
      <c r="AED31" s="131"/>
      <c r="AEE31" s="131"/>
      <c r="AEF31" s="131"/>
      <c r="AEG31" s="131"/>
      <c r="AEH31" s="131"/>
      <c r="AEI31" s="131"/>
      <c r="AEJ31" s="131"/>
      <c r="AEK31" s="131"/>
      <c r="AEL31" s="131"/>
      <c r="AEM31" s="131"/>
      <c r="AEN31" s="131"/>
      <c r="AEO31" s="131"/>
      <c r="AEP31" s="131"/>
      <c r="AEQ31" s="131"/>
      <c r="AER31" s="131"/>
      <c r="AES31" s="131"/>
      <c r="AET31" s="131"/>
      <c r="AEU31" s="131"/>
      <c r="AEV31" s="131"/>
      <c r="AEW31" s="131"/>
      <c r="AEX31" s="131"/>
      <c r="AEY31" s="131"/>
      <c r="AEZ31" s="131"/>
      <c r="AFA31" s="131"/>
      <c r="AFB31" s="131"/>
      <c r="AFC31" s="131"/>
      <c r="AFD31" s="131"/>
      <c r="AFE31" s="131"/>
      <c r="AFF31" s="131"/>
      <c r="AFG31" s="131"/>
      <c r="AFH31" s="131"/>
      <c r="AFI31" s="131"/>
      <c r="AFJ31" s="131"/>
      <c r="AFK31" s="131"/>
      <c r="AFL31" s="131"/>
      <c r="AFM31" s="131"/>
      <c r="AFN31" s="131"/>
      <c r="AFO31" s="131"/>
      <c r="AFP31" s="131"/>
      <c r="AFQ31" s="131"/>
      <c r="AFR31" s="131"/>
      <c r="AFS31" s="131"/>
      <c r="AFT31" s="131"/>
      <c r="AFU31" s="131"/>
      <c r="AFV31" s="131"/>
      <c r="AFW31" s="131"/>
      <c r="AFX31" s="131"/>
      <c r="AFY31" s="131"/>
      <c r="AFZ31" s="131"/>
      <c r="AGA31" s="131"/>
      <c r="AGB31" s="131"/>
      <c r="AGC31" s="131"/>
      <c r="AGD31" s="131"/>
      <c r="AGE31" s="131"/>
      <c r="AGF31" s="131"/>
      <c r="AGG31" s="131"/>
      <c r="AGH31" s="131"/>
      <c r="AGI31" s="131"/>
      <c r="AGJ31" s="131"/>
      <c r="AGK31" s="131"/>
      <c r="AGL31" s="131"/>
      <c r="AGM31" s="131"/>
      <c r="AGN31" s="131"/>
      <c r="AGO31" s="131"/>
      <c r="AGP31" s="131"/>
      <c r="AGQ31" s="131"/>
      <c r="AGR31" s="131"/>
      <c r="AGS31" s="131"/>
      <c r="AGT31" s="131"/>
      <c r="AGU31" s="131"/>
      <c r="AGV31" s="131"/>
      <c r="AGW31" s="131"/>
      <c r="AGX31" s="131"/>
      <c r="AGY31" s="131"/>
      <c r="AGZ31" s="131"/>
      <c r="AHA31" s="131"/>
      <c r="AHB31" s="131"/>
      <c r="AHC31" s="131"/>
      <c r="AHD31" s="131"/>
      <c r="AHE31" s="131"/>
      <c r="AHF31" s="131"/>
      <c r="AHG31" s="131"/>
      <c r="AHH31" s="131"/>
      <c r="AHI31" s="131"/>
      <c r="AHJ31" s="131"/>
      <c r="AHK31" s="131"/>
      <c r="AHL31" s="131"/>
      <c r="AHM31" s="131"/>
      <c r="AHN31" s="131"/>
      <c r="AHO31" s="131"/>
      <c r="AHP31" s="131"/>
      <c r="AHQ31" s="131"/>
      <c r="AHR31" s="131"/>
      <c r="AHS31" s="131"/>
      <c r="AHT31" s="131"/>
      <c r="AHU31" s="131"/>
      <c r="AHV31" s="131"/>
      <c r="AHW31" s="131"/>
      <c r="AHX31" s="131"/>
      <c r="AHY31" s="131"/>
      <c r="AHZ31" s="131"/>
      <c r="AIA31" s="131"/>
      <c r="AIB31" s="131"/>
      <c r="AIC31" s="131"/>
      <c r="AID31" s="131"/>
      <c r="AIE31" s="131"/>
      <c r="AIF31" s="131"/>
      <c r="AIG31" s="131"/>
      <c r="AIH31" s="131"/>
      <c r="AII31" s="131"/>
      <c r="AIJ31" s="131"/>
      <c r="AIK31" s="131"/>
      <c r="AIL31" s="131"/>
      <c r="AIM31" s="131"/>
      <c r="AIN31" s="131"/>
      <c r="AIO31" s="131"/>
      <c r="AIP31" s="131"/>
      <c r="AIQ31" s="131"/>
      <c r="AIR31" s="131"/>
      <c r="AIS31" s="131"/>
      <c r="AIT31" s="131"/>
      <c r="AIU31" s="131"/>
      <c r="AIV31" s="131"/>
      <c r="AIW31" s="131"/>
      <c r="AIX31" s="131"/>
      <c r="AIY31" s="131"/>
      <c r="AIZ31" s="131"/>
      <c r="AJA31" s="131"/>
      <c r="AJB31" s="131"/>
      <c r="AJC31" s="131"/>
      <c r="AJD31" s="131"/>
      <c r="AJE31" s="131"/>
      <c r="AJF31" s="131"/>
      <c r="AJG31" s="131"/>
      <c r="AJH31" s="131"/>
      <c r="AJI31" s="131"/>
      <c r="AJJ31" s="131"/>
      <c r="AJK31" s="131"/>
      <c r="AJL31" s="131"/>
      <c r="AJM31" s="131"/>
      <c r="AJN31" s="131"/>
      <c r="AJO31" s="131"/>
      <c r="AJP31" s="131"/>
      <c r="AJQ31" s="131"/>
      <c r="AJR31" s="131"/>
      <c r="AJS31" s="131"/>
      <c r="AJT31" s="131"/>
      <c r="AJU31" s="131"/>
      <c r="AJV31" s="131"/>
      <c r="AJW31" s="131"/>
      <c r="AJX31" s="131"/>
      <c r="AJY31" s="131"/>
      <c r="AJZ31" s="131"/>
      <c r="AKA31" s="131"/>
      <c r="AKB31" s="131"/>
      <c r="AKC31" s="131"/>
      <c r="AKD31" s="131"/>
      <c r="AKE31" s="131"/>
      <c r="AKF31" s="131"/>
      <c r="AKG31" s="131"/>
      <c r="AKH31" s="131"/>
      <c r="AKI31" s="131"/>
      <c r="AKJ31" s="131"/>
      <c r="AKK31" s="131"/>
      <c r="AKL31" s="131"/>
      <c r="AKM31" s="131"/>
      <c r="AKN31" s="131"/>
      <c r="AKO31" s="131"/>
      <c r="AKP31" s="131"/>
      <c r="AKQ31" s="131"/>
      <c r="AKR31" s="131"/>
      <c r="AKS31" s="131"/>
      <c r="AKT31" s="131"/>
      <c r="AKU31" s="131"/>
      <c r="AKV31" s="131"/>
      <c r="AKW31" s="131"/>
      <c r="AKX31" s="131"/>
      <c r="AKY31" s="131"/>
      <c r="AKZ31" s="131"/>
      <c r="ALA31" s="131"/>
      <c r="ALB31" s="131"/>
      <c r="ALC31" s="131"/>
      <c r="ALD31" s="131"/>
      <c r="ALE31" s="131"/>
      <c r="ALF31" s="131"/>
      <c r="ALG31" s="131"/>
      <c r="ALH31" s="131"/>
      <c r="ALI31" s="131"/>
      <c r="ALJ31" s="131"/>
      <c r="ALK31" s="131"/>
      <c r="ALL31" s="131"/>
      <c r="ALM31" s="131"/>
      <c r="ALN31" s="131"/>
      <c r="ALO31" s="131"/>
      <c r="ALP31" s="131"/>
      <c r="ALQ31" s="131"/>
      <c r="ALR31" s="131"/>
      <c r="ALS31" s="131"/>
      <c r="ALT31" s="131"/>
      <c r="ALU31" s="131"/>
      <c r="ALV31" s="131"/>
      <c r="ALW31" s="131"/>
      <c r="ALX31" s="131"/>
      <c r="ALY31" s="131"/>
      <c r="ALZ31" s="131"/>
      <c r="AMA31" s="131"/>
      <c r="AMB31" s="131"/>
      <c r="AMC31" s="131"/>
    </row>
    <row r="32" spans="1:1017" ht="19.5" customHeight="1" x14ac:dyDescent="0.35">
      <c r="A32" s="67" t="s">
        <v>34</v>
      </c>
      <c r="B32" s="568" t="s">
        <v>309</v>
      </c>
      <c r="C32" s="568"/>
      <c r="D32" s="568"/>
      <c r="E32" s="568"/>
      <c r="F32" s="568"/>
      <c r="G32" s="568"/>
      <c r="H32" s="568"/>
      <c r="I32" s="91">
        <f>H22*2</f>
        <v>2242.4</v>
      </c>
    </row>
    <row r="33" spans="1:11" ht="19.5" customHeight="1" x14ac:dyDescent="0.35">
      <c r="A33" s="67" t="s">
        <v>36</v>
      </c>
      <c r="B33" s="568" t="s">
        <v>363</v>
      </c>
      <c r="C33" s="568"/>
      <c r="D33" s="568"/>
      <c r="E33" s="568"/>
      <c r="F33" s="568"/>
      <c r="G33" s="568"/>
      <c r="H33" s="568"/>
      <c r="I33" s="81">
        <f>ROUND(2*7*15*H27,2)</f>
        <v>224.7</v>
      </c>
    </row>
    <row r="34" spans="1:11" ht="30.75" customHeight="1" x14ac:dyDescent="0.35">
      <c r="A34" s="580" t="s">
        <v>311</v>
      </c>
      <c r="B34" s="580"/>
      <c r="C34" s="580"/>
      <c r="D34" s="580"/>
      <c r="E34" s="580"/>
      <c r="F34" s="580"/>
      <c r="G34" s="580"/>
      <c r="H34" s="580"/>
      <c r="I34" s="111">
        <f>SUM(I32:I33)</f>
        <v>2467.1</v>
      </c>
    </row>
    <row r="35" spans="1:11" ht="18.75" customHeight="1" x14ac:dyDescent="0.35">
      <c r="A35" s="604"/>
      <c r="B35" s="604"/>
      <c r="C35" s="604"/>
      <c r="D35" s="604"/>
      <c r="E35" s="604"/>
      <c r="F35" s="604"/>
      <c r="G35" s="604"/>
      <c r="H35" s="604"/>
      <c r="I35" s="604"/>
    </row>
    <row r="36" spans="1:11" ht="34.5" customHeight="1" x14ac:dyDescent="0.35">
      <c r="A36" s="67" t="s">
        <v>99</v>
      </c>
      <c r="B36" s="568" t="s">
        <v>364</v>
      </c>
      <c r="C36" s="568"/>
      <c r="D36" s="568"/>
      <c r="E36" s="568"/>
      <c r="F36" s="568"/>
      <c r="G36" s="568"/>
      <c r="H36" s="568"/>
      <c r="I36" s="91">
        <f>ROUND(H25*15*H28*0.75,2)</f>
        <v>114.75</v>
      </c>
    </row>
    <row r="37" spans="1:11" ht="39.75" customHeight="1" x14ac:dyDescent="0.35">
      <c r="A37" s="618" t="s">
        <v>313</v>
      </c>
      <c r="B37" s="618"/>
      <c r="C37" s="618"/>
      <c r="D37" s="618"/>
      <c r="E37" s="618"/>
      <c r="F37" s="618"/>
      <c r="G37" s="618"/>
      <c r="H37" s="618"/>
      <c r="I37" s="111">
        <f>I36</f>
        <v>114.75</v>
      </c>
    </row>
    <row r="38" spans="1:11" ht="18.75" customHeight="1" x14ac:dyDescent="0.35">
      <c r="A38" s="604"/>
      <c r="B38" s="604"/>
      <c r="C38" s="604"/>
      <c r="D38" s="604"/>
      <c r="E38" s="604"/>
      <c r="F38" s="604"/>
      <c r="G38" s="604"/>
      <c r="H38" s="604"/>
      <c r="I38" s="604"/>
    </row>
    <row r="39" spans="1:11" ht="19.5" customHeight="1" x14ac:dyDescent="0.35">
      <c r="A39" s="580" t="s">
        <v>75</v>
      </c>
      <c r="B39" s="580"/>
      <c r="C39" s="580"/>
      <c r="D39" s="580"/>
      <c r="E39" s="580"/>
      <c r="F39" s="580"/>
      <c r="G39" s="580"/>
      <c r="H39" s="580"/>
      <c r="I39" s="99">
        <f>I34+I37</f>
        <v>2581.85</v>
      </c>
    </row>
    <row r="40" spans="1:11" ht="18.75" customHeight="1" x14ac:dyDescent="0.35">
      <c r="A40" s="604"/>
      <c r="B40" s="604"/>
      <c r="C40" s="604"/>
      <c r="D40" s="604"/>
      <c r="E40" s="604"/>
      <c r="F40" s="604"/>
      <c r="G40" s="604"/>
      <c r="H40" s="604"/>
      <c r="I40" s="604"/>
    </row>
    <row r="41" spans="1:11" ht="19.5" customHeight="1" x14ac:dyDescent="0.35">
      <c r="A41" s="577" t="s">
        <v>216</v>
      </c>
      <c r="B41" s="577"/>
      <c r="C41" s="577"/>
      <c r="D41" s="577"/>
      <c r="E41" s="577"/>
      <c r="F41" s="577"/>
      <c r="G41" s="577"/>
      <c r="H41" s="577"/>
      <c r="I41" s="577"/>
    </row>
    <row r="42" spans="1:11" ht="18.75" customHeight="1" x14ac:dyDescent="0.35">
      <c r="A42" s="587" t="s">
        <v>81</v>
      </c>
      <c r="B42" s="587"/>
      <c r="C42" s="587"/>
      <c r="D42" s="587"/>
      <c r="E42" s="587"/>
      <c r="F42" s="587"/>
      <c r="G42" s="587"/>
      <c r="H42" s="587"/>
      <c r="I42" s="587"/>
    </row>
    <row r="43" spans="1:11" ht="19.5" customHeight="1" x14ac:dyDescent="0.35">
      <c r="A43" s="74" t="s">
        <v>82</v>
      </c>
      <c r="B43" s="582" t="s">
        <v>118</v>
      </c>
      <c r="C43" s="582"/>
      <c r="D43" s="582"/>
      <c r="E43" s="582"/>
      <c r="F43" s="582"/>
      <c r="G43" s="582"/>
      <c r="H43" s="582"/>
      <c r="I43" s="75" t="s">
        <v>85</v>
      </c>
    </row>
    <row r="44" spans="1:11" ht="42" customHeight="1" x14ac:dyDescent="0.35">
      <c r="A44" s="76" t="s">
        <v>34</v>
      </c>
      <c r="B44" s="605" t="s">
        <v>365</v>
      </c>
      <c r="C44" s="605"/>
      <c r="D44" s="605"/>
      <c r="E44" s="605"/>
      <c r="F44" s="605"/>
      <c r="G44" s="605"/>
      <c r="H44" s="77">
        <v>8.3299999999999999E-2</v>
      </c>
      <c r="I44" s="94">
        <f>ROUND(I34*H44,2)</f>
        <v>205.51</v>
      </c>
      <c r="K44" s="82" t="s">
        <v>315</v>
      </c>
    </row>
    <row r="45" spans="1:11" ht="19.5" customHeight="1" x14ac:dyDescent="0.35">
      <c r="A45" s="76" t="s">
        <v>36</v>
      </c>
      <c r="B45" s="617" t="s">
        <v>87</v>
      </c>
      <c r="C45" s="617"/>
      <c r="D45" s="617"/>
      <c r="E45" s="617"/>
      <c r="F45" s="617"/>
      <c r="G45" s="617"/>
      <c r="H45" s="79">
        <v>3.0249999999999999E-2</v>
      </c>
      <c r="I45" s="94">
        <f>ROUND(I34*H45,2)</f>
        <v>74.63</v>
      </c>
    </row>
    <row r="46" spans="1:11" ht="18.75" customHeight="1" x14ac:dyDescent="0.35">
      <c r="A46" s="574" t="s">
        <v>75</v>
      </c>
      <c r="B46" s="574"/>
      <c r="C46" s="574"/>
      <c r="D46" s="574"/>
      <c r="E46" s="574"/>
      <c r="F46" s="574"/>
      <c r="G46" s="574"/>
      <c r="H46" s="574"/>
      <c r="I46" s="83">
        <f>SUM(I44+I45)</f>
        <v>280.14</v>
      </c>
    </row>
    <row r="47" spans="1:11" ht="18.75" customHeight="1" x14ac:dyDescent="0.35">
      <c r="A47" s="604"/>
      <c r="B47" s="604"/>
      <c r="C47" s="604"/>
      <c r="D47" s="604"/>
      <c r="E47" s="604"/>
      <c r="F47" s="604"/>
      <c r="G47" s="604"/>
      <c r="H47" s="604"/>
      <c r="I47" s="604"/>
    </row>
    <row r="48" spans="1:11" ht="18.75" customHeight="1" x14ac:dyDescent="0.35">
      <c r="A48" s="587" t="s">
        <v>220</v>
      </c>
      <c r="B48" s="587"/>
      <c r="C48" s="587"/>
      <c r="D48" s="587"/>
      <c r="E48" s="587"/>
      <c r="F48" s="587"/>
      <c r="G48" s="587"/>
      <c r="H48" s="587"/>
      <c r="I48" s="587"/>
    </row>
    <row r="49" spans="1:9" ht="19.5" customHeight="1" x14ac:dyDescent="0.35">
      <c r="A49" s="74" t="s">
        <v>89</v>
      </c>
      <c r="B49" s="582" t="s">
        <v>90</v>
      </c>
      <c r="C49" s="582"/>
      <c r="D49" s="582"/>
      <c r="E49" s="582"/>
      <c r="F49" s="582"/>
      <c r="G49" s="582"/>
      <c r="H49" s="75" t="s">
        <v>221</v>
      </c>
      <c r="I49" s="75" t="s">
        <v>85</v>
      </c>
    </row>
    <row r="50" spans="1:9" ht="19.5" customHeight="1" x14ac:dyDescent="0.35">
      <c r="A50" s="118" t="s">
        <v>34</v>
      </c>
      <c r="B50" s="568" t="s">
        <v>316</v>
      </c>
      <c r="C50" s="568"/>
      <c r="D50" s="568"/>
      <c r="E50" s="568"/>
      <c r="F50" s="568"/>
      <c r="G50" s="568"/>
      <c r="H50" s="84">
        <v>0.2</v>
      </c>
      <c r="I50" s="81">
        <f>ROUND((I34+I46)*H50,2)</f>
        <v>549.45000000000005</v>
      </c>
    </row>
    <row r="51" spans="1:9" ht="19.5" customHeight="1" x14ac:dyDescent="0.35">
      <c r="A51" s="118" t="s">
        <v>36</v>
      </c>
      <c r="B51" s="568" t="s">
        <v>317</v>
      </c>
      <c r="C51" s="568"/>
      <c r="D51" s="568"/>
      <c r="E51" s="568"/>
      <c r="F51" s="568"/>
      <c r="G51" s="568"/>
      <c r="H51" s="84">
        <v>2.5000000000000001E-2</v>
      </c>
      <c r="I51" s="81">
        <f>ROUND((I34+I46)*H51,2)</f>
        <v>68.680000000000007</v>
      </c>
    </row>
    <row r="52" spans="1:9" ht="51.75" customHeight="1" x14ac:dyDescent="0.35">
      <c r="A52" s="118" t="s">
        <v>38</v>
      </c>
      <c r="B52" s="596" t="s">
        <v>318</v>
      </c>
      <c r="C52" s="596"/>
      <c r="D52" s="67" t="s">
        <v>94</v>
      </c>
      <c r="E52" s="85">
        <v>0.02</v>
      </c>
      <c r="F52" s="67" t="s">
        <v>95</v>
      </c>
      <c r="G52" s="86">
        <v>0.99</v>
      </c>
      <c r="H52" s="132">
        <f>ROUND((E52*G52),6)</f>
        <v>1.9800000000000002E-2</v>
      </c>
      <c r="I52" s="81">
        <f>ROUND((I34+I46)*H52,2)</f>
        <v>54.4</v>
      </c>
    </row>
    <row r="53" spans="1:9" ht="19.5" customHeight="1" x14ac:dyDescent="0.35">
      <c r="A53" s="118" t="s">
        <v>40</v>
      </c>
      <c r="B53" s="568" t="s">
        <v>319</v>
      </c>
      <c r="C53" s="568"/>
      <c r="D53" s="568"/>
      <c r="E53" s="568"/>
      <c r="F53" s="568"/>
      <c r="G53" s="568"/>
      <c r="H53" s="84">
        <v>1.4999999999999999E-2</v>
      </c>
      <c r="I53" s="81">
        <f>ROUND((I34+I46)*H53,2)</f>
        <v>41.21</v>
      </c>
    </row>
    <row r="54" spans="1:9" ht="19.5" customHeight="1" x14ac:dyDescent="0.35">
      <c r="A54" s="118" t="s">
        <v>73</v>
      </c>
      <c r="B54" s="568" t="s">
        <v>320</v>
      </c>
      <c r="C54" s="568"/>
      <c r="D54" s="568"/>
      <c r="E54" s="568"/>
      <c r="F54" s="568"/>
      <c r="G54" s="568"/>
      <c r="H54" s="84">
        <v>0.01</v>
      </c>
      <c r="I54" s="81">
        <f>ROUND((I34+I46)*H54,2)</f>
        <v>27.47</v>
      </c>
    </row>
    <row r="55" spans="1:9" ht="19.5" customHeight="1" x14ac:dyDescent="0.35">
      <c r="A55" s="118" t="s">
        <v>76</v>
      </c>
      <c r="B55" s="568" t="s">
        <v>321</v>
      </c>
      <c r="C55" s="568"/>
      <c r="D55" s="568"/>
      <c r="E55" s="568"/>
      <c r="F55" s="568"/>
      <c r="G55" s="568"/>
      <c r="H55" s="84">
        <v>6.0000000000000001E-3</v>
      </c>
      <c r="I55" s="81">
        <f>ROUND((I34+I46)*H55,2)</f>
        <v>16.48</v>
      </c>
    </row>
    <row r="56" spans="1:9" ht="19.5" customHeight="1" x14ac:dyDescent="0.35">
      <c r="A56" s="118" t="s">
        <v>99</v>
      </c>
      <c r="B56" s="568" t="s">
        <v>322</v>
      </c>
      <c r="C56" s="568"/>
      <c r="D56" s="568"/>
      <c r="E56" s="568"/>
      <c r="F56" s="568"/>
      <c r="G56" s="568"/>
      <c r="H56" s="84">
        <v>2E-3</v>
      </c>
      <c r="I56" s="81">
        <f>ROUND((I34+I46)*H56,2)</f>
        <v>5.49</v>
      </c>
    </row>
    <row r="57" spans="1:9" ht="19.5" customHeight="1" x14ac:dyDescent="0.35">
      <c r="A57" s="118" t="s">
        <v>101</v>
      </c>
      <c r="B57" s="568" t="s">
        <v>102</v>
      </c>
      <c r="C57" s="568"/>
      <c r="D57" s="568"/>
      <c r="E57" s="568"/>
      <c r="F57" s="568"/>
      <c r="G57" s="568"/>
      <c r="H57" s="84">
        <v>0.08</v>
      </c>
      <c r="I57" s="81">
        <f>ROUND((I34+I46)*H57,2)</f>
        <v>219.78</v>
      </c>
    </row>
    <row r="58" spans="1:9" ht="18.75" customHeight="1" x14ac:dyDescent="0.35">
      <c r="A58" s="574" t="s">
        <v>75</v>
      </c>
      <c r="B58" s="574"/>
      <c r="C58" s="574"/>
      <c r="D58" s="574"/>
      <c r="E58" s="574"/>
      <c r="F58" s="574"/>
      <c r="G58" s="574"/>
      <c r="H58" s="88">
        <f>SUM(H50:H57)</f>
        <v>0.35780000000000006</v>
      </c>
      <c r="I58" s="83">
        <f>SUM(I50:I57)</f>
        <v>982.96000000000015</v>
      </c>
    </row>
    <row r="59" spans="1:9" ht="18.75" customHeight="1" x14ac:dyDescent="0.35">
      <c r="A59" s="119"/>
      <c r="B59" s="120"/>
      <c r="C59" s="120"/>
      <c r="D59" s="120"/>
      <c r="E59" s="120"/>
      <c r="F59" s="120"/>
      <c r="G59" s="120"/>
      <c r="H59" s="121"/>
      <c r="I59" s="122"/>
    </row>
    <row r="60" spans="1:9" ht="18.75" customHeight="1" x14ac:dyDescent="0.35">
      <c r="A60" s="587" t="s">
        <v>103</v>
      </c>
      <c r="B60" s="587"/>
      <c r="C60" s="587"/>
      <c r="D60" s="587"/>
      <c r="E60" s="587"/>
      <c r="F60" s="587"/>
      <c r="G60" s="587"/>
      <c r="H60" s="587"/>
      <c r="I60" s="587"/>
    </row>
    <row r="61" spans="1:9" ht="19.5" customHeight="1" x14ac:dyDescent="0.35">
      <c r="A61" s="74" t="s">
        <v>104</v>
      </c>
      <c r="B61" s="582" t="s">
        <v>105</v>
      </c>
      <c r="C61" s="582"/>
      <c r="D61" s="582"/>
      <c r="E61" s="582"/>
      <c r="F61" s="582"/>
      <c r="G61" s="582"/>
      <c r="H61" s="582"/>
      <c r="I61" s="75" t="s">
        <v>85</v>
      </c>
    </row>
    <row r="62" spans="1:9" ht="30.75" customHeight="1" x14ac:dyDescent="0.35">
      <c r="A62" s="588" t="s">
        <v>34</v>
      </c>
      <c r="B62" s="599" t="s">
        <v>323</v>
      </c>
      <c r="C62" s="599"/>
      <c r="D62" s="599"/>
      <c r="E62" s="599"/>
      <c r="F62" s="599"/>
      <c r="G62" s="599"/>
      <c r="H62" s="599"/>
      <c r="I62" s="81">
        <f>IF(ROUND((H63*H65*H64)-(I32*H66),2)&lt;0,0,ROUND((H63*H65*H64)-(I32*H66),2))</f>
        <v>148.72999999999999</v>
      </c>
    </row>
    <row r="63" spans="1:9" ht="34.5" customHeight="1" x14ac:dyDescent="0.35">
      <c r="A63" s="588"/>
      <c r="B63" s="601" t="s">
        <v>324</v>
      </c>
      <c r="C63" s="601"/>
      <c r="D63" s="601"/>
      <c r="E63" s="601"/>
      <c r="F63" s="601"/>
      <c r="G63" s="601"/>
      <c r="H63" s="89">
        <v>3.6</v>
      </c>
      <c r="I63" s="90" t="s">
        <v>164</v>
      </c>
    </row>
    <row r="64" spans="1:9" ht="19.5" customHeight="1" x14ac:dyDescent="0.35">
      <c r="A64" s="588"/>
      <c r="B64" s="601" t="s">
        <v>325</v>
      </c>
      <c r="C64" s="601"/>
      <c r="D64" s="601"/>
      <c r="E64" s="601"/>
      <c r="F64" s="601"/>
      <c r="G64" s="601"/>
      <c r="H64" s="91">
        <v>2</v>
      </c>
      <c r="I64" s="90" t="s">
        <v>164</v>
      </c>
    </row>
    <row r="65" spans="1:9" ht="19.5" customHeight="1" x14ac:dyDescent="0.35">
      <c r="A65" s="588"/>
      <c r="B65" s="601" t="s">
        <v>109</v>
      </c>
      <c r="C65" s="601"/>
      <c r="D65" s="601"/>
      <c r="E65" s="601"/>
      <c r="F65" s="601"/>
      <c r="G65" s="601"/>
      <c r="H65" s="92">
        <v>30</v>
      </c>
      <c r="I65" s="90"/>
    </row>
    <row r="66" spans="1:9" ht="19.5" customHeight="1" x14ac:dyDescent="0.35">
      <c r="A66" s="588"/>
      <c r="B66" s="601" t="s">
        <v>110</v>
      </c>
      <c r="C66" s="601"/>
      <c r="D66" s="601"/>
      <c r="E66" s="601"/>
      <c r="F66" s="601"/>
      <c r="G66" s="601"/>
      <c r="H66" s="123">
        <v>0.03</v>
      </c>
      <c r="I66" s="90"/>
    </row>
    <row r="67" spans="1:9" ht="30.75" customHeight="1" x14ac:dyDescent="0.35">
      <c r="A67" s="588" t="s">
        <v>36</v>
      </c>
      <c r="B67" s="568" t="s">
        <v>326</v>
      </c>
      <c r="C67" s="568"/>
      <c r="D67" s="568"/>
      <c r="E67" s="568"/>
      <c r="F67" s="568"/>
      <c r="G67" s="568"/>
      <c r="H67" s="568"/>
      <c r="I67" s="124">
        <f>ROUND(H69*H68*(1-H70),2)*1+ROUND(21.726*6*(1-H70),2)*0</f>
        <v>594</v>
      </c>
    </row>
    <row r="68" spans="1:9" ht="19.5" customHeight="1" x14ac:dyDescent="0.35">
      <c r="A68" s="588"/>
      <c r="B68" s="601" t="s">
        <v>327</v>
      </c>
      <c r="C68" s="601"/>
      <c r="D68" s="601"/>
      <c r="E68" s="601"/>
      <c r="F68" s="601"/>
      <c r="G68" s="601"/>
      <c r="H68" s="89">
        <v>20</v>
      </c>
      <c r="I68" s="90" t="s">
        <v>164</v>
      </c>
    </row>
    <row r="69" spans="1:9" ht="19.5" customHeight="1" x14ac:dyDescent="0.35">
      <c r="A69" s="588"/>
      <c r="B69" s="601" t="s">
        <v>112</v>
      </c>
      <c r="C69" s="601"/>
      <c r="D69" s="601"/>
      <c r="E69" s="601"/>
      <c r="F69" s="601"/>
      <c r="G69" s="601"/>
      <c r="H69" s="92">
        <v>30</v>
      </c>
      <c r="I69" s="90"/>
    </row>
    <row r="70" spans="1:9" ht="19.5" customHeight="1" x14ac:dyDescent="0.35">
      <c r="A70" s="588"/>
      <c r="B70" s="601" t="s">
        <v>328</v>
      </c>
      <c r="C70" s="601"/>
      <c r="D70" s="601"/>
      <c r="E70" s="601"/>
      <c r="F70" s="601"/>
      <c r="G70" s="601"/>
      <c r="H70" s="123">
        <v>0.01</v>
      </c>
      <c r="I70" s="90"/>
    </row>
    <row r="71" spans="1:9" ht="19.5" customHeight="1" x14ac:dyDescent="0.35">
      <c r="A71" s="76" t="s">
        <v>38</v>
      </c>
      <c r="B71" s="568" t="s">
        <v>230</v>
      </c>
      <c r="C71" s="568"/>
      <c r="D71" s="568"/>
      <c r="E71" s="568"/>
      <c r="F71" s="568"/>
      <c r="G71" s="568"/>
      <c r="H71" s="568"/>
      <c r="I71" s="81">
        <v>0</v>
      </c>
    </row>
    <row r="72" spans="1:9" ht="19.5" customHeight="1" x14ac:dyDescent="0.35">
      <c r="A72" s="76" t="s">
        <v>73</v>
      </c>
      <c r="B72" s="568" t="s">
        <v>233</v>
      </c>
      <c r="C72" s="568"/>
      <c r="D72" s="568"/>
      <c r="E72" s="568"/>
      <c r="F72" s="568"/>
      <c r="G72" s="568"/>
      <c r="H72" s="568"/>
      <c r="I72" s="81">
        <f>3*I32*0.001068</f>
        <v>7.1846496000000002</v>
      </c>
    </row>
    <row r="73" spans="1:9" ht="19.5" customHeight="1" x14ac:dyDescent="0.35">
      <c r="A73" s="76" t="s">
        <v>76</v>
      </c>
      <c r="B73" s="573" t="s">
        <v>329</v>
      </c>
      <c r="C73" s="573"/>
      <c r="D73" s="573"/>
      <c r="E73" s="573"/>
      <c r="F73" s="573"/>
      <c r="G73" s="573"/>
      <c r="H73" s="573"/>
      <c r="I73" s="93">
        <v>75</v>
      </c>
    </row>
    <row r="74" spans="1:9" ht="18.75" customHeight="1" x14ac:dyDescent="0.35">
      <c r="A74" s="574" t="s">
        <v>75</v>
      </c>
      <c r="B74" s="574"/>
      <c r="C74" s="574"/>
      <c r="D74" s="574"/>
      <c r="E74" s="574"/>
      <c r="F74" s="574"/>
      <c r="G74" s="574"/>
      <c r="H74" s="574"/>
      <c r="I74" s="83">
        <f>SUM(I62:I73)</f>
        <v>824.91464960000008</v>
      </c>
    </row>
    <row r="75" spans="1:9" ht="18.75" customHeight="1" x14ac:dyDescent="0.35">
      <c r="A75" s="604"/>
      <c r="B75" s="604"/>
      <c r="C75" s="604"/>
      <c r="D75" s="604"/>
      <c r="E75" s="604"/>
      <c r="F75" s="604"/>
      <c r="G75" s="604"/>
      <c r="H75" s="604"/>
      <c r="I75" s="604"/>
    </row>
    <row r="76" spans="1:9" ht="18.75" customHeight="1" x14ac:dyDescent="0.35">
      <c r="A76" s="587" t="s">
        <v>234</v>
      </c>
      <c r="B76" s="587"/>
      <c r="C76" s="587"/>
      <c r="D76" s="587"/>
      <c r="E76" s="587"/>
      <c r="F76" s="587"/>
      <c r="G76" s="587"/>
      <c r="H76" s="587"/>
      <c r="I76" s="587"/>
    </row>
    <row r="77" spans="1:9" ht="19.5" customHeight="1" x14ac:dyDescent="0.35">
      <c r="A77" s="75">
        <v>2</v>
      </c>
      <c r="B77" s="616" t="s">
        <v>117</v>
      </c>
      <c r="C77" s="616"/>
      <c r="D77" s="616"/>
      <c r="E77" s="616"/>
      <c r="F77" s="616"/>
      <c r="G77" s="616"/>
      <c r="H77" s="616"/>
      <c r="I77" s="75" t="s">
        <v>85</v>
      </c>
    </row>
    <row r="78" spans="1:9" ht="19.5" customHeight="1" x14ac:dyDescent="0.35">
      <c r="A78" s="67" t="s">
        <v>82</v>
      </c>
      <c r="B78" s="568" t="s">
        <v>118</v>
      </c>
      <c r="C78" s="568"/>
      <c r="D78" s="568"/>
      <c r="E78" s="568"/>
      <c r="F78" s="568"/>
      <c r="G78" s="568"/>
      <c r="H78" s="568"/>
      <c r="I78" s="93">
        <f>I46</f>
        <v>280.14</v>
      </c>
    </row>
    <row r="79" spans="1:9" ht="19.5" customHeight="1" x14ac:dyDescent="0.35">
      <c r="A79" s="67" t="s">
        <v>89</v>
      </c>
      <c r="B79" s="568" t="s">
        <v>90</v>
      </c>
      <c r="C79" s="568"/>
      <c r="D79" s="568"/>
      <c r="E79" s="568"/>
      <c r="F79" s="568"/>
      <c r="G79" s="568"/>
      <c r="H79" s="568"/>
      <c r="I79" s="93">
        <f>I58</f>
        <v>982.96000000000015</v>
      </c>
    </row>
    <row r="80" spans="1:9" ht="19.5" customHeight="1" x14ac:dyDescent="0.35">
      <c r="A80" s="67" t="s">
        <v>104</v>
      </c>
      <c r="B80" s="568" t="s">
        <v>105</v>
      </c>
      <c r="C80" s="568"/>
      <c r="D80" s="568"/>
      <c r="E80" s="568"/>
      <c r="F80" s="568"/>
      <c r="G80" s="568"/>
      <c r="H80" s="568"/>
      <c r="I80" s="93">
        <f>I74</f>
        <v>824.91464960000008</v>
      </c>
    </row>
    <row r="81" spans="1:10" ht="19.5" customHeight="1" x14ac:dyDescent="0.35">
      <c r="A81" s="580" t="s">
        <v>75</v>
      </c>
      <c r="B81" s="580"/>
      <c r="C81" s="580"/>
      <c r="D81" s="580"/>
      <c r="E81" s="580"/>
      <c r="F81" s="580"/>
      <c r="G81" s="580"/>
      <c r="H81" s="580"/>
      <c r="I81" s="99">
        <f>SUM(I78+I79+I80)</f>
        <v>2088.0146496000002</v>
      </c>
    </row>
    <row r="82" spans="1:10" ht="18.75" customHeight="1" x14ac:dyDescent="0.35">
      <c r="A82" s="604"/>
      <c r="B82" s="604"/>
      <c r="C82" s="604"/>
      <c r="D82" s="604"/>
      <c r="E82" s="604"/>
      <c r="F82" s="604"/>
      <c r="G82" s="604"/>
      <c r="H82" s="604"/>
      <c r="I82" s="604"/>
    </row>
    <row r="83" spans="1:10" ht="19.5" customHeight="1" x14ac:dyDescent="0.35">
      <c r="A83" s="577" t="s">
        <v>235</v>
      </c>
      <c r="B83" s="577"/>
      <c r="C83" s="577"/>
      <c r="D83" s="577"/>
      <c r="E83" s="577"/>
      <c r="F83" s="577"/>
      <c r="G83" s="577"/>
      <c r="H83" s="577"/>
      <c r="I83" s="577"/>
      <c r="J83" s="66"/>
    </row>
    <row r="84" spans="1:10" ht="19.5" customHeight="1" x14ac:dyDescent="0.35">
      <c r="A84" s="74">
        <v>3</v>
      </c>
      <c r="B84" s="616" t="s">
        <v>120</v>
      </c>
      <c r="C84" s="616"/>
      <c r="D84" s="616"/>
      <c r="E84" s="616"/>
      <c r="F84" s="616"/>
      <c r="G84" s="616"/>
      <c r="H84" s="616"/>
      <c r="I84" s="74" t="s">
        <v>121</v>
      </c>
    </row>
    <row r="85" spans="1:10" ht="30.75" customHeight="1" x14ac:dyDescent="0.35">
      <c r="A85" s="76" t="s">
        <v>34</v>
      </c>
      <c r="B85" s="605" t="s">
        <v>330</v>
      </c>
      <c r="C85" s="605"/>
      <c r="D85" s="605"/>
      <c r="E85" s="605"/>
      <c r="F85" s="605"/>
      <c r="G85" s="605"/>
      <c r="H85" s="605"/>
      <c r="I85" s="81">
        <f>ROUND(((I34/12)+($I$44/12)+(I34/12/12)+($I$45/12))*(3/30)*0.05,2)</f>
        <v>1.23</v>
      </c>
    </row>
    <row r="86" spans="1:10" ht="18.75" customHeight="1" x14ac:dyDescent="0.35">
      <c r="A86" s="76" t="s">
        <v>36</v>
      </c>
      <c r="B86" s="573" t="s">
        <v>123</v>
      </c>
      <c r="C86" s="573"/>
      <c r="D86" s="573"/>
      <c r="E86" s="573"/>
      <c r="F86" s="573"/>
      <c r="G86" s="573"/>
      <c r="H86" s="573"/>
      <c r="I86" s="81">
        <f>ROUND($H$57*I85,2)</f>
        <v>0.1</v>
      </c>
    </row>
    <row r="87" spans="1:10" ht="42" customHeight="1" x14ac:dyDescent="0.35">
      <c r="A87" s="76" t="s">
        <v>38</v>
      </c>
      <c r="B87" s="568" t="s">
        <v>331</v>
      </c>
      <c r="C87" s="568"/>
      <c r="D87" s="568"/>
      <c r="E87" s="568"/>
      <c r="F87" s="568"/>
      <c r="G87" s="568"/>
      <c r="H87" s="568"/>
      <c r="I87" s="81">
        <f>0.00194*I34</f>
        <v>4.7861739999999999</v>
      </c>
    </row>
    <row r="88" spans="1:10" ht="18.75" customHeight="1" x14ac:dyDescent="0.35">
      <c r="A88" s="76" t="s">
        <v>40</v>
      </c>
      <c r="B88" s="573" t="s">
        <v>332</v>
      </c>
      <c r="C88" s="573"/>
      <c r="D88" s="573"/>
      <c r="E88" s="573"/>
      <c r="F88" s="573"/>
      <c r="G88" s="573"/>
      <c r="H88" s="573"/>
      <c r="I88" s="81">
        <f>I87*H58</f>
        <v>1.7124930572000003</v>
      </c>
    </row>
    <row r="89" spans="1:10" ht="41.25" customHeight="1" x14ac:dyDescent="0.35">
      <c r="A89" s="76" t="s">
        <v>73</v>
      </c>
      <c r="B89" s="568" t="s">
        <v>297</v>
      </c>
      <c r="C89" s="568"/>
      <c r="D89" s="568"/>
      <c r="E89" s="568"/>
      <c r="F89" s="568"/>
      <c r="G89" s="568"/>
      <c r="H89" s="77">
        <v>0.04</v>
      </c>
      <c r="I89" s="81">
        <f>ROUND($I$34*H89,2)</f>
        <v>98.68</v>
      </c>
    </row>
    <row r="90" spans="1:10" ht="18.75" customHeight="1" x14ac:dyDescent="0.35">
      <c r="A90" s="574" t="s">
        <v>350</v>
      </c>
      <c r="B90" s="574"/>
      <c r="C90" s="574"/>
      <c r="D90" s="574"/>
      <c r="E90" s="574"/>
      <c r="F90" s="574"/>
      <c r="G90" s="574"/>
      <c r="H90" s="574"/>
      <c r="I90" s="83">
        <f>SUM(I85:I89)</f>
        <v>106.5086670572</v>
      </c>
    </row>
    <row r="91" spans="1:10" ht="18.75" customHeight="1" x14ac:dyDescent="0.35">
      <c r="A91" s="604"/>
      <c r="B91" s="604"/>
      <c r="C91" s="604"/>
      <c r="D91" s="604"/>
      <c r="E91" s="604"/>
      <c r="F91" s="604"/>
      <c r="G91" s="604"/>
      <c r="H91" s="604"/>
      <c r="I91" s="604"/>
    </row>
    <row r="92" spans="1:10" ht="19.5" customHeight="1" x14ac:dyDescent="0.35">
      <c r="A92" s="577" t="s">
        <v>241</v>
      </c>
      <c r="B92" s="577"/>
      <c r="C92" s="577"/>
      <c r="D92" s="577"/>
      <c r="E92" s="577"/>
      <c r="F92" s="577"/>
      <c r="G92" s="577"/>
      <c r="H92" s="577"/>
      <c r="I92" s="577"/>
      <c r="J92" s="66"/>
    </row>
    <row r="93" spans="1:10" ht="34.5" customHeight="1" x14ac:dyDescent="0.35">
      <c r="A93" s="605" t="s">
        <v>366</v>
      </c>
      <c r="B93" s="605"/>
      <c r="C93" s="605"/>
      <c r="D93" s="605"/>
      <c r="E93" s="605"/>
      <c r="F93" s="605"/>
      <c r="G93" s="605"/>
      <c r="H93" s="605"/>
      <c r="I93" s="93">
        <f>I34+I44+I45+I97</f>
        <v>2971.1299999999997</v>
      </c>
    </row>
    <row r="94" spans="1:10" ht="18.75" customHeight="1" x14ac:dyDescent="0.35">
      <c r="A94" s="604"/>
      <c r="B94" s="604"/>
      <c r="C94" s="604"/>
      <c r="D94" s="604"/>
      <c r="E94" s="604"/>
      <c r="F94" s="604"/>
      <c r="G94" s="604"/>
      <c r="H94" s="604"/>
      <c r="I94" s="604"/>
    </row>
    <row r="95" spans="1:10" ht="19.5" customHeight="1" x14ac:dyDescent="0.35">
      <c r="A95" s="586" t="s">
        <v>243</v>
      </c>
      <c r="B95" s="586"/>
      <c r="C95" s="586"/>
      <c r="D95" s="586"/>
      <c r="E95" s="586"/>
      <c r="F95" s="586"/>
      <c r="G95" s="586"/>
      <c r="H95" s="586"/>
      <c r="I95" s="586"/>
    </row>
    <row r="96" spans="1:10" ht="18.75" customHeight="1" x14ac:dyDescent="0.35">
      <c r="A96" s="74" t="s">
        <v>134</v>
      </c>
      <c r="B96" s="582" t="s">
        <v>244</v>
      </c>
      <c r="C96" s="582"/>
      <c r="D96" s="582"/>
      <c r="E96" s="582"/>
      <c r="F96" s="582"/>
      <c r="G96" s="582"/>
      <c r="H96" s="582"/>
      <c r="I96" s="74" t="s">
        <v>85</v>
      </c>
    </row>
    <row r="97" spans="1:10" ht="51.75" customHeight="1" x14ac:dyDescent="0.35">
      <c r="A97" s="130" t="s">
        <v>34</v>
      </c>
      <c r="B97" s="605" t="s">
        <v>245</v>
      </c>
      <c r="C97" s="605"/>
      <c r="D97" s="605"/>
      <c r="E97" s="605"/>
      <c r="F97" s="605"/>
      <c r="G97" s="605"/>
      <c r="H97" s="79">
        <v>9.0749999999999997E-2</v>
      </c>
      <c r="I97" s="81">
        <f>ROUND(I34*H97,2)</f>
        <v>223.89</v>
      </c>
    </row>
    <row r="98" spans="1:10" ht="30.75" customHeight="1" x14ac:dyDescent="0.35">
      <c r="A98" s="130" t="s">
        <v>36</v>
      </c>
      <c r="B98" s="568" t="s">
        <v>246</v>
      </c>
      <c r="C98" s="568"/>
      <c r="D98" s="568"/>
      <c r="E98" s="568"/>
      <c r="F98" s="568"/>
      <c r="G98" s="568"/>
      <c r="H98" s="568"/>
      <c r="I98" s="81">
        <f>ROUND((2.96/30)/12*($I$93),2)</f>
        <v>24.43</v>
      </c>
    </row>
    <row r="99" spans="1:10" ht="30.75" customHeight="1" x14ac:dyDescent="0.35">
      <c r="A99" s="130" t="s">
        <v>38</v>
      </c>
      <c r="B99" s="568" t="s">
        <v>334</v>
      </c>
      <c r="C99" s="568"/>
      <c r="D99" s="568"/>
      <c r="E99" s="568"/>
      <c r="F99" s="568"/>
      <c r="G99" s="568"/>
      <c r="H99" s="568"/>
      <c r="I99" s="81">
        <f>ROUND((5/30)/12*0.015*($I$93),2)</f>
        <v>0.62</v>
      </c>
    </row>
    <row r="100" spans="1:10" ht="30.75" customHeight="1" x14ac:dyDescent="0.35">
      <c r="A100" s="130" t="s">
        <v>40</v>
      </c>
      <c r="B100" s="568" t="s">
        <v>248</v>
      </c>
      <c r="C100" s="568"/>
      <c r="D100" s="568"/>
      <c r="E100" s="568"/>
      <c r="F100" s="568"/>
      <c r="G100" s="568"/>
      <c r="H100" s="568"/>
      <c r="I100" s="81">
        <f>ROUND(((15/30)/12)*0.0078*($I$93),2)</f>
        <v>0.97</v>
      </c>
    </row>
    <row r="101" spans="1:10" ht="30.75" customHeight="1" x14ac:dyDescent="0.35">
      <c r="A101" s="76" t="s">
        <v>73</v>
      </c>
      <c r="B101" s="568" t="s">
        <v>335</v>
      </c>
      <c r="C101" s="568"/>
      <c r="D101" s="568"/>
      <c r="E101" s="568"/>
      <c r="F101" s="568"/>
      <c r="G101" s="568"/>
      <c r="H101" s="568"/>
      <c r="I101" s="81">
        <f>ROUND((1+1/3)/12*(4/12)*0.02*(I34),2)</f>
        <v>1.83</v>
      </c>
    </row>
    <row r="102" spans="1:10" ht="30.75" customHeight="1" x14ac:dyDescent="0.35">
      <c r="A102" s="130" t="s">
        <v>76</v>
      </c>
      <c r="B102" s="568" t="s">
        <v>336</v>
      </c>
      <c r="C102" s="568"/>
      <c r="D102" s="568"/>
      <c r="E102" s="568"/>
      <c r="F102" s="568"/>
      <c r="G102" s="568"/>
      <c r="H102" s="568"/>
      <c r="I102" s="133">
        <f>ROUND(((3/30)/12)*($I$93),2)</f>
        <v>24.76</v>
      </c>
    </row>
    <row r="103" spans="1:10" ht="18.75" customHeight="1" x14ac:dyDescent="0.35">
      <c r="A103" s="583" t="s">
        <v>75</v>
      </c>
      <c r="B103" s="583"/>
      <c r="C103" s="583"/>
      <c r="D103" s="583"/>
      <c r="E103" s="583"/>
      <c r="F103" s="583"/>
      <c r="G103" s="583"/>
      <c r="H103" s="583"/>
      <c r="I103" s="134">
        <f>SUM(I97:I102)</f>
        <v>276.5</v>
      </c>
    </row>
    <row r="104" spans="1:10" ht="18.75" customHeight="1" x14ac:dyDescent="0.35">
      <c r="A104" s="130" t="s">
        <v>99</v>
      </c>
      <c r="B104" s="573" t="s">
        <v>337</v>
      </c>
      <c r="C104" s="573"/>
      <c r="D104" s="573"/>
      <c r="E104" s="573"/>
      <c r="F104" s="573"/>
      <c r="G104" s="573"/>
      <c r="H104" s="573"/>
      <c r="I104" s="134">
        <f>ROUND(H58*I103,2)</f>
        <v>98.93</v>
      </c>
    </row>
    <row r="105" spans="1:10" ht="18.75" customHeight="1" x14ac:dyDescent="0.35">
      <c r="A105" s="574" t="s">
        <v>75</v>
      </c>
      <c r="B105" s="574"/>
      <c r="C105" s="574"/>
      <c r="D105" s="574"/>
      <c r="E105" s="574"/>
      <c r="F105" s="574"/>
      <c r="G105" s="574"/>
      <c r="H105" s="574"/>
      <c r="I105" s="83">
        <f>SUM(I103:I104)</f>
        <v>375.43</v>
      </c>
    </row>
    <row r="106" spans="1:10" ht="18.75" customHeight="1" x14ac:dyDescent="0.35">
      <c r="A106" s="604"/>
      <c r="B106" s="604"/>
      <c r="C106" s="604"/>
      <c r="D106" s="604"/>
      <c r="E106" s="604"/>
      <c r="F106" s="604"/>
      <c r="G106" s="604"/>
      <c r="H106" s="604"/>
      <c r="I106" s="604"/>
    </row>
    <row r="107" spans="1:10" ht="19.5" customHeight="1" x14ac:dyDescent="0.35">
      <c r="A107" s="581" t="s">
        <v>252</v>
      </c>
      <c r="B107" s="581"/>
      <c r="C107" s="581"/>
      <c r="D107" s="581"/>
      <c r="E107" s="581"/>
      <c r="F107" s="581"/>
      <c r="G107" s="581"/>
      <c r="H107" s="581"/>
      <c r="I107" s="581"/>
      <c r="J107" s="66"/>
    </row>
    <row r="108" spans="1:10" ht="18.75" customHeight="1" x14ac:dyDescent="0.35">
      <c r="A108" s="74" t="s">
        <v>145</v>
      </c>
      <c r="B108" s="582" t="s">
        <v>62</v>
      </c>
      <c r="C108" s="582"/>
      <c r="D108" s="582"/>
      <c r="E108" s="582"/>
      <c r="F108" s="582"/>
      <c r="G108" s="582"/>
      <c r="H108" s="582"/>
      <c r="I108" s="101" t="s">
        <v>85</v>
      </c>
    </row>
    <row r="109" spans="1:10" ht="18.75" customHeight="1" x14ac:dyDescent="0.35">
      <c r="A109" s="76" t="s">
        <v>34</v>
      </c>
      <c r="B109" s="573" t="s">
        <v>253</v>
      </c>
      <c r="C109" s="573"/>
      <c r="D109" s="573"/>
      <c r="E109" s="573"/>
      <c r="F109" s="573"/>
      <c r="G109" s="573"/>
      <c r="H109" s="573"/>
      <c r="I109" s="81">
        <v>0</v>
      </c>
    </row>
    <row r="110" spans="1:10" ht="18.75" customHeight="1" x14ac:dyDescent="0.35">
      <c r="A110" s="583" t="s">
        <v>75</v>
      </c>
      <c r="B110" s="583"/>
      <c r="C110" s="583"/>
      <c r="D110" s="583"/>
      <c r="E110" s="583"/>
      <c r="F110" s="583"/>
      <c r="G110" s="583"/>
      <c r="H110" s="583"/>
      <c r="I110" s="81">
        <v>0</v>
      </c>
    </row>
    <row r="111" spans="1:10" ht="19.5" customHeight="1" x14ac:dyDescent="0.35">
      <c r="A111" s="130" t="s">
        <v>36</v>
      </c>
      <c r="B111" s="568" t="s">
        <v>254</v>
      </c>
      <c r="C111" s="568"/>
      <c r="D111" s="568"/>
      <c r="E111" s="568"/>
      <c r="F111" s="568"/>
      <c r="G111" s="568"/>
      <c r="H111" s="568"/>
      <c r="I111" s="134">
        <f>ROUND(H59*I110,2)</f>
        <v>0</v>
      </c>
    </row>
    <row r="112" spans="1:10" ht="18.75" customHeight="1" x14ac:dyDescent="0.35">
      <c r="A112" s="574" t="s">
        <v>75</v>
      </c>
      <c r="B112" s="574"/>
      <c r="C112" s="574"/>
      <c r="D112" s="574"/>
      <c r="E112" s="574"/>
      <c r="F112" s="574"/>
      <c r="G112" s="574"/>
      <c r="H112" s="574"/>
      <c r="I112" s="83">
        <f>SUM(I110:I111)</f>
        <v>0</v>
      </c>
    </row>
    <row r="113" spans="1:10" ht="18.75" customHeight="1" x14ac:dyDescent="0.35">
      <c r="A113" s="567"/>
      <c r="B113" s="567"/>
      <c r="C113" s="567"/>
      <c r="D113" s="567"/>
      <c r="E113" s="567"/>
      <c r="F113" s="567"/>
      <c r="G113" s="567"/>
      <c r="H113" s="567"/>
      <c r="I113" s="567"/>
    </row>
    <row r="114" spans="1:10" ht="19.5" customHeight="1" x14ac:dyDescent="0.35">
      <c r="A114" s="581" t="s">
        <v>255</v>
      </c>
      <c r="B114" s="581"/>
      <c r="C114" s="581"/>
      <c r="D114" s="581"/>
      <c r="E114" s="581"/>
      <c r="F114" s="581"/>
      <c r="G114" s="581"/>
      <c r="H114" s="581"/>
      <c r="I114" s="581"/>
      <c r="J114" s="66"/>
    </row>
    <row r="115" spans="1:10" ht="19.5" customHeight="1" x14ac:dyDescent="0.35">
      <c r="A115" s="70">
        <v>4</v>
      </c>
      <c r="B115" s="579" t="s">
        <v>149</v>
      </c>
      <c r="C115" s="579"/>
      <c r="D115" s="579"/>
      <c r="E115" s="579"/>
      <c r="F115" s="579"/>
      <c r="G115" s="579"/>
      <c r="H115" s="579"/>
      <c r="I115" s="70" t="s">
        <v>85</v>
      </c>
    </row>
    <row r="116" spans="1:10" ht="19.5" customHeight="1" x14ac:dyDescent="0.35">
      <c r="A116" s="67" t="s">
        <v>134</v>
      </c>
      <c r="B116" s="573" t="s">
        <v>244</v>
      </c>
      <c r="C116" s="573"/>
      <c r="D116" s="573"/>
      <c r="E116" s="573"/>
      <c r="F116" s="573"/>
      <c r="G116" s="573"/>
      <c r="H116" s="573"/>
      <c r="I116" s="81">
        <f>I105</f>
        <v>375.43</v>
      </c>
    </row>
    <row r="117" spans="1:10" ht="19.5" customHeight="1" x14ac:dyDescent="0.35">
      <c r="A117" s="67" t="s">
        <v>145</v>
      </c>
      <c r="B117" s="573" t="s">
        <v>62</v>
      </c>
      <c r="C117" s="573"/>
      <c r="D117" s="573"/>
      <c r="E117" s="573"/>
      <c r="F117" s="573"/>
      <c r="G117" s="573"/>
      <c r="H117" s="573"/>
      <c r="I117" s="81">
        <f>I112</f>
        <v>0</v>
      </c>
    </row>
    <row r="118" spans="1:10" ht="19.5" customHeight="1" x14ac:dyDescent="0.35">
      <c r="A118" s="580" t="s">
        <v>75</v>
      </c>
      <c r="B118" s="580"/>
      <c r="C118" s="580"/>
      <c r="D118" s="580"/>
      <c r="E118" s="580"/>
      <c r="F118" s="580"/>
      <c r="G118" s="580"/>
      <c r="H118" s="580"/>
      <c r="I118" s="83">
        <f>SUM(I116+I117)</f>
        <v>375.43</v>
      </c>
    </row>
    <row r="119" spans="1:10" ht="18.75" customHeight="1" x14ac:dyDescent="0.35">
      <c r="A119" s="604"/>
      <c r="B119" s="604"/>
      <c r="C119" s="604"/>
      <c r="D119" s="604"/>
      <c r="E119" s="604"/>
      <c r="F119" s="604"/>
      <c r="G119" s="604"/>
      <c r="H119" s="604"/>
      <c r="I119" s="604"/>
    </row>
    <row r="120" spans="1:10" ht="19.5" customHeight="1" x14ac:dyDescent="0.35">
      <c r="A120" s="577" t="s">
        <v>256</v>
      </c>
      <c r="B120" s="577"/>
      <c r="C120" s="577"/>
      <c r="D120" s="577"/>
      <c r="E120" s="577"/>
      <c r="F120" s="577"/>
      <c r="G120" s="577"/>
      <c r="H120" s="577"/>
      <c r="I120" s="577"/>
    </row>
    <row r="121" spans="1:10" ht="19.5" customHeight="1" x14ac:dyDescent="0.35">
      <c r="A121" s="68">
        <v>3</v>
      </c>
      <c r="B121" s="586" t="s">
        <v>338</v>
      </c>
      <c r="C121" s="586"/>
      <c r="D121" s="586"/>
      <c r="E121" s="586"/>
      <c r="F121" s="586"/>
      <c r="G121" s="586"/>
      <c r="H121" s="586"/>
      <c r="I121" s="135" t="s">
        <v>85</v>
      </c>
    </row>
    <row r="122" spans="1:10" ht="19.5" customHeight="1" x14ac:dyDescent="0.35">
      <c r="A122" s="76" t="s">
        <v>34</v>
      </c>
      <c r="B122" s="568" t="s">
        <v>339</v>
      </c>
      <c r="C122" s="568"/>
      <c r="D122" s="568"/>
      <c r="E122" s="568"/>
      <c r="F122" s="568"/>
      <c r="G122" s="568"/>
      <c r="H122" s="568"/>
      <c r="I122" s="81">
        <f>(I118+I90+I81+I39)*(0.0145)</f>
        <v>74.701148091529404</v>
      </c>
    </row>
    <row r="123" spans="1:10" ht="19.5" customHeight="1" x14ac:dyDescent="0.35">
      <c r="A123" s="76" t="s">
        <v>36</v>
      </c>
      <c r="B123" s="568" t="s">
        <v>155</v>
      </c>
      <c r="C123" s="568"/>
      <c r="D123" s="568"/>
      <c r="E123" s="568"/>
      <c r="F123" s="568"/>
      <c r="G123" s="568"/>
      <c r="H123" s="568"/>
      <c r="I123" s="93" t="s">
        <v>71</v>
      </c>
    </row>
    <row r="124" spans="1:10" ht="19.5" customHeight="1" x14ac:dyDescent="0.35">
      <c r="A124" s="574" t="s">
        <v>75</v>
      </c>
      <c r="B124" s="574"/>
      <c r="C124" s="574"/>
      <c r="D124" s="574"/>
      <c r="E124" s="574"/>
      <c r="F124" s="574"/>
      <c r="G124" s="574"/>
      <c r="H124" s="574"/>
      <c r="I124" s="99">
        <f>ROUND(SUM(I122:I123),2)</f>
        <v>74.7</v>
      </c>
    </row>
    <row r="125" spans="1:10" ht="18.75" customHeight="1" x14ac:dyDescent="0.35">
      <c r="A125" s="604"/>
      <c r="B125" s="604"/>
      <c r="C125" s="604"/>
      <c r="D125" s="604"/>
      <c r="E125" s="604"/>
      <c r="F125" s="604"/>
      <c r="G125" s="604"/>
      <c r="H125" s="604"/>
      <c r="I125" s="604"/>
    </row>
    <row r="126" spans="1:10" ht="19.5" customHeight="1" x14ac:dyDescent="0.35">
      <c r="A126" s="577" t="s">
        <v>340</v>
      </c>
      <c r="B126" s="577"/>
      <c r="C126" s="577"/>
      <c r="D126" s="577"/>
      <c r="E126" s="577"/>
      <c r="F126" s="577"/>
      <c r="G126" s="577"/>
      <c r="H126" s="577"/>
      <c r="I126" s="577"/>
    </row>
    <row r="127" spans="1:10" ht="19.5" customHeight="1" x14ac:dyDescent="0.35">
      <c r="A127" s="68">
        <v>6</v>
      </c>
      <c r="B127" s="586" t="s">
        <v>157</v>
      </c>
      <c r="C127" s="586"/>
      <c r="D127" s="586"/>
      <c r="E127" s="586"/>
      <c r="F127" s="586"/>
      <c r="G127" s="586"/>
      <c r="H127" s="586"/>
      <c r="I127" s="135" t="s">
        <v>85</v>
      </c>
    </row>
    <row r="128" spans="1:10" ht="54" customHeight="1" x14ac:dyDescent="0.35">
      <c r="A128" s="605" t="s">
        <v>341</v>
      </c>
      <c r="B128" s="605"/>
      <c r="C128" s="605"/>
      <c r="D128" s="605"/>
      <c r="E128" s="605"/>
      <c r="F128" s="605"/>
      <c r="G128" s="605"/>
      <c r="H128" s="106" t="s">
        <v>164</v>
      </c>
      <c r="I128" s="81">
        <f>SUM(I39+I81+I90+I118+I124)</f>
        <v>5226.5033166572002</v>
      </c>
    </row>
    <row r="129" spans="1:9" ht="18.75" customHeight="1" x14ac:dyDescent="0.35">
      <c r="A129" s="76" t="s">
        <v>34</v>
      </c>
      <c r="B129" s="573" t="s">
        <v>159</v>
      </c>
      <c r="C129" s="573"/>
      <c r="D129" s="573"/>
      <c r="E129" s="573"/>
      <c r="F129" s="573"/>
      <c r="G129" s="573"/>
      <c r="H129" s="84">
        <v>7.1000000000000004E-3</v>
      </c>
      <c r="I129" s="81">
        <f>ROUND(H129*I128,2)</f>
        <v>37.11</v>
      </c>
    </row>
    <row r="130" spans="1:9" ht="54" customHeight="1" x14ac:dyDescent="0.35">
      <c r="A130" s="605" t="s">
        <v>342</v>
      </c>
      <c r="B130" s="605"/>
      <c r="C130" s="605"/>
      <c r="D130" s="605"/>
      <c r="E130" s="605"/>
      <c r="F130" s="605"/>
      <c r="G130" s="605"/>
      <c r="H130" s="107" t="s">
        <v>164</v>
      </c>
      <c r="I130" s="81">
        <f>SUM(I39+I81+I90+I118+I124+I129)</f>
        <v>5263.6133166571999</v>
      </c>
    </row>
    <row r="131" spans="1:9" ht="18.75" customHeight="1" x14ac:dyDescent="0.35">
      <c r="A131" s="76" t="s">
        <v>36</v>
      </c>
      <c r="B131" s="573" t="s">
        <v>161</v>
      </c>
      <c r="C131" s="573"/>
      <c r="D131" s="573"/>
      <c r="E131" s="573"/>
      <c r="F131" s="573"/>
      <c r="G131" s="573"/>
      <c r="H131" s="84">
        <f>H129</f>
        <v>7.1000000000000004E-3</v>
      </c>
      <c r="I131" s="81">
        <f>ROUND(H131*I130,2)</f>
        <v>37.369999999999997</v>
      </c>
    </row>
    <row r="132" spans="1:9" ht="54" customHeight="1" x14ac:dyDescent="0.35">
      <c r="A132" s="605" t="s">
        <v>343</v>
      </c>
      <c r="B132" s="605"/>
      <c r="C132" s="605"/>
      <c r="D132" s="605"/>
      <c r="E132" s="605"/>
      <c r="F132" s="605"/>
      <c r="G132" s="605"/>
      <c r="H132" s="107" t="s">
        <v>164</v>
      </c>
      <c r="I132" s="81">
        <f>SUM(I34+I81+I90+I118+I124+I129+I131)</f>
        <v>5186.2333166571998</v>
      </c>
    </row>
    <row r="133" spans="1:9" ht="18.75" customHeight="1" x14ac:dyDescent="0.35">
      <c r="A133" s="588" t="s">
        <v>38</v>
      </c>
      <c r="B133" s="573" t="s">
        <v>163</v>
      </c>
      <c r="C133" s="573"/>
      <c r="D133" s="573"/>
      <c r="E133" s="573"/>
      <c r="F133" s="573"/>
      <c r="G133" s="573"/>
      <c r="H133" s="77" t="s">
        <v>164</v>
      </c>
      <c r="I133" s="90" t="s">
        <v>164</v>
      </c>
    </row>
    <row r="134" spans="1:9" ht="18.75" customHeight="1" x14ac:dyDescent="0.35">
      <c r="A134" s="588"/>
      <c r="B134" s="573" t="s">
        <v>344</v>
      </c>
      <c r="C134" s="573"/>
      <c r="D134" s="573"/>
      <c r="E134" s="573"/>
      <c r="F134" s="573"/>
      <c r="G134" s="573"/>
      <c r="H134" s="77" t="s">
        <v>164</v>
      </c>
      <c r="I134" s="90" t="s">
        <v>164</v>
      </c>
    </row>
    <row r="135" spans="1:9" ht="19.5" customHeight="1" x14ac:dyDescent="0.35">
      <c r="A135" s="588"/>
      <c r="B135" s="589" t="s">
        <v>345</v>
      </c>
      <c r="C135" s="589"/>
      <c r="D135" s="589"/>
      <c r="E135" s="589"/>
      <c r="F135" s="589"/>
      <c r="G135" s="589"/>
      <c r="H135" s="108">
        <v>0.03</v>
      </c>
      <c r="I135" s="133">
        <f>ROUND(($I$132/(1-$H$144))*H135,2)</f>
        <v>170.32</v>
      </c>
    </row>
    <row r="136" spans="1:9" ht="19.5" customHeight="1" x14ac:dyDescent="0.35">
      <c r="A136" s="588"/>
      <c r="B136" s="589" t="s">
        <v>346</v>
      </c>
      <c r="C136" s="589"/>
      <c r="D136" s="589"/>
      <c r="E136" s="589"/>
      <c r="F136" s="589"/>
      <c r="G136" s="589"/>
      <c r="H136" s="108">
        <v>6.4999999999999997E-3</v>
      </c>
      <c r="I136" s="133">
        <f>ROUND(($I$132/(1-$H$144))*H136,2)</f>
        <v>36.9</v>
      </c>
    </row>
    <row r="137" spans="1:9" ht="19.5" customHeight="1" x14ac:dyDescent="0.35">
      <c r="A137" s="588"/>
      <c r="B137" s="605" t="s">
        <v>264</v>
      </c>
      <c r="C137" s="605"/>
      <c r="D137" s="605"/>
      <c r="E137" s="605"/>
      <c r="F137" s="605"/>
      <c r="G137" s="605"/>
      <c r="H137" s="98" t="s">
        <v>164</v>
      </c>
      <c r="I137" s="90" t="s">
        <v>164</v>
      </c>
    </row>
    <row r="138" spans="1:9" ht="19.5" customHeight="1" x14ac:dyDescent="0.35">
      <c r="A138" s="588"/>
      <c r="B138" s="605" t="s">
        <v>265</v>
      </c>
      <c r="C138" s="605"/>
      <c r="D138" s="605"/>
      <c r="E138" s="605"/>
      <c r="F138" s="605"/>
      <c r="G138" s="605"/>
      <c r="H138" s="98" t="s">
        <v>164</v>
      </c>
      <c r="I138" s="90" t="s">
        <v>164</v>
      </c>
    </row>
    <row r="139" spans="1:9" ht="19.5" customHeight="1" x14ac:dyDescent="0.35">
      <c r="A139" s="588"/>
      <c r="B139" s="568" t="s">
        <v>347</v>
      </c>
      <c r="C139" s="568"/>
      <c r="D139" s="568"/>
      <c r="E139" s="568"/>
      <c r="F139" s="568"/>
      <c r="G139" s="568"/>
      <c r="H139" s="136" t="s">
        <v>164</v>
      </c>
      <c r="I139" s="137" t="s">
        <v>164</v>
      </c>
    </row>
    <row r="140" spans="1:9" ht="19.5" customHeight="1" x14ac:dyDescent="0.35">
      <c r="A140" s="588"/>
      <c r="B140" s="568" t="s">
        <v>348</v>
      </c>
      <c r="C140" s="568"/>
      <c r="D140" s="568"/>
      <c r="E140" s="568"/>
      <c r="F140" s="568"/>
      <c r="G140" s="568"/>
      <c r="H140" s="136" t="s">
        <v>164</v>
      </c>
      <c r="I140" s="137" t="s">
        <v>164</v>
      </c>
    </row>
    <row r="141" spans="1:9" ht="19.5" customHeight="1" x14ac:dyDescent="0.35">
      <c r="A141" s="588"/>
      <c r="B141" s="568" t="s">
        <v>349</v>
      </c>
      <c r="C141" s="568"/>
      <c r="D141" s="568"/>
      <c r="E141" s="568"/>
      <c r="F141" s="568"/>
      <c r="G141" s="568"/>
      <c r="H141" s="108">
        <v>0.05</v>
      </c>
      <c r="I141" s="133">
        <f>ROUND(($I$132/(1-$H$144))*H141,2)</f>
        <v>283.87</v>
      </c>
    </row>
    <row r="142" spans="1:9" ht="18.75" customHeight="1" x14ac:dyDescent="0.35">
      <c r="A142" s="574" t="s">
        <v>350</v>
      </c>
      <c r="B142" s="574"/>
      <c r="C142" s="574"/>
      <c r="D142" s="574"/>
      <c r="E142" s="574"/>
      <c r="F142" s="574"/>
      <c r="G142" s="574"/>
      <c r="H142" s="574"/>
      <c r="I142" s="83">
        <f>SUM(I129+I131+I135+I136+I141)</f>
        <v>565.56999999999994</v>
      </c>
    </row>
    <row r="143" spans="1:9" ht="18.75" customHeight="1" x14ac:dyDescent="0.35">
      <c r="A143" s="604"/>
      <c r="B143" s="604"/>
      <c r="C143" s="604"/>
      <c r="D143" s="604"/>
      <c r="E143" s="604"/>
      <c r="F143" s="604"/>
      <c r="G143" s="604"/>
      <c r="H143" s="604"/>
      <c r="I143" s="604"/>
    </row>
    <row r="144" spans="1:9" ht="19.5" customHeight="1" x14ac:dyDescent="0.35">
      <c r="A144" s="575" t="s">
        <v>170</v>
      </c>
      <c r="B144" s="575"/>
      <c r="C144" s="575"/>
      <c r="D144" s="575"/>
      <c r="E144" s="575"/>
      <c r="F144" s="575"/>
      <c r="G144" s="575"/>
      <c r="H144" s="84">
        <f>SUM(H135:H141)</f>
        <v>8.6499999999999994E-2</v>
      </c>
      <c r="I144" s="81">
        <f>SUM(I135:I141)</f>
        <v>491.09000000000003</v>
      </c>
    </row>
    <row r="145" spans="1:9" ht="18.75" customHeight="1" x14ac:dyDescent="0.35">
      <c r="A145" s="588" t="s">
        <v>171</v>
      </c>
      <c r="B145" s="588"/>
      <c r="C145" s="573" t="s">
        <v>351</v>
      </c>
      <c r="D145" s="573"/>
      <c r="E145" s="573"/>
      <c r="F145" s="573"/>
      <c r="G145" s="573"/>
      <c r="H145" s="573"/>
      <c r="I145" s="573"/>
    </row>
    <row r="146" spans="1:9" ht="18.75" customHeight="1" x14ac:dyDescent="0.35">
      <c r="A146" s="588"/>
      <c r="B146" s="588"/>
      <c r="C146" s="588" t="s">
        <v>352</v>
      </c>
      <c r="D146" s="588"/>
      <c r="E146" s="588"/>
      <c r="F146" s="588"/>
      <c r="G146" s="588"/>
      <c r="H146" s="588"/>
      <c r="I146" s="588"/>
    </row>
    <row r="147" spans="1:9" ht="18.75" customHeight="1" x14ac:dyDescent="0.35">
      <c r="A147" s="588"/>
      <c r="B147" s="588"/>
      <c r="C147" s="573" t="s">
        <v>353</v>
      </c>
      <c r="D147" s="573"/>
      <c r="E147" s="573"/>
      <c r="F147" s="573"/>
      <c r="G147" s="573"/>
      <c r="H147" s="573"/>
      <c r="I147" s="573"/>
    </row>
    <row r="148" spans="1:9" ht="18.75" customHeight="1" x14ac:dyDescent="0.35">
      <c r="A148" s="604"/>
      <c r="B148" s="604"/>
      <c r="C148" s="604"/>
      <c r="D148" s="604"/>
      <c r="E148" s="604"/>
      <c r="F148" s="604"/>
      <c r="G148" s="604"/>
      <c r="H148" s="604"/>
      <c r="I148" s="604"/>
    </row>
    <row r="149" spans="1:9" ht="19.5" customHeight="1" x14ac:dyDescent="0.35">
      <c r="A149" s="570" t="s">
        <v>302</v>
      </c>
      <c r="B149" s="570"/>
      <c r="C149" s="570"/>
      <c r="D149" s="570"/>
      <c r="E149" s="570"/>
      <c r="F149" s="570"/>
      <c r="G149" s="570"/>
      <c r="H149" s="570"/>
      <c r="I149" s="570"/>
    </row>
    <row r="150" spans="1:9" ht="19.5" customHeight="1" x14ac:dyDescent="0.35">
      <c r="A150" s="571" t="s">
        <v>269</v>
      </c>
      <c r="B150" s="571"/>
      <c r="C150" s="571"/>
      <c r="D150" s="571"/>
      <c r="E150" s="571"/>
      <c r="F150" s="571"/>
      <c r="G150" s="571"/>
      <c r="H150" s="571"/>
      <c r="I150" s="100" t="s">
        <v>85</v>
      </c>
    </row>
    <row r="151" spans="1:9" ht="19.5" customHeight="1" x14ac:dyDescent="0.35">
      <c r="A151" s="109" t="s">
        <v>34</v>
      </c>
      <c r="B151" s="568" t="s">
        <v>354</v>
      </c>
      <c r="C151" s="568"/>
      <c r="D151" s="568"/>
      <c r="E151" s="568"/>
      <c r="F151" s="568"/>
      <c r="G151" s="568"/>
      <c r="H151" s="568"/>
      <c r="I151" s="93">
        <f>I39</f>
        <v>2581.85</v>
      </c>
    </row>
    <row r="152" spans="1:9" ht="19.5" customHeight="1" x14ac:dyDescent="0.35">
      <c r="A152" s="109" t="s">
        <v>36</v>
      </c>
      <c r="B152" s="568" t="s">
        <v>80</v>
      </c>
      <c r="C152" s="568"/>
      <c r="D152" s="568"/>
      <c r="E152" s="568"/>
      <c r="F152" s="568"/>
      <c r="G152" s="568"/>
      <c r="H152" s="568"/>
      <c r="I152" s="93">
        <f>I81</f>
        <v>2088.0146496000002</v>
      </c>
    </row>
    <row r="153" spans="1:9" ht="19.5" customHeight="1" x14ac:dyDescent="0.35">
      <c r="A153" s="109" t="s">
        <v>38</v>
      </c>
      <c r="B153" s="568" t="s">
        <v>178</v>
      </c>
      <c r="C153" s="568"/>
      <c r="D153" s="568"/>
      <c r="E153" s="568"/>
      <c r="F153" s="568"/>
      <c r="G153" s="568"/>
      <c r="H153" s="568"/>
      <c r="I153" s="93">
        <f>I90</f>
        <v>106.5086670572</v>
      </c>
    </row>
    <row r="154" spans="1:9" ht="19.5" customHeight="1" x14ac:dyDescent="0.35">
      <c r="A154" s="109" t="s">
        <v>40</v>
      </c>
      <c r="B154" s="568" t="s">
        <v>179</v>
      </c>
      <c r="C154" s="568"/>
      <c r="D154" s="568"/>
      <c r="E154" s="568"/>
      <c r="F154" s="568"/>
      <c r="G154" s="568"/>
      <c r="H154" s="568"/>
      <c r="I154" s="93">
        <f>I118</f>
        <v>375.43</v>
      </c>
    </row>
    <row r="155" spans="1:9" ht="19.5" customHeight="1" x14ac:dyDescent="0.35">
      <c r="A155" s="109" t="s">
        <v>73</v>
      </c>
      <c r="B155" s="568" t="s">
        <v>180</v>
      </c>
      <c r="C155" s="568"/>
      <c r="D155" s="568"/>
      <c r="E155" s="568"/>
      <c r="F155" s="568"/>
      <c r="G155" s="568"/>
      <c r="H155" s="568"/>
      <c r="I155" s="93">
        <f>I124</f>
        <v>74.7</v>
      </c>
    </row>
    <row r="156" spans="1:9" ht="19.5" customHeight="1" x14ac:dyDescent="0.35">
      <c r="A156" s="608" t="s">
        <v>181</v>
      </c>
      <c r="B156" s="608"/>
      <c r="C156" s="608"/>
      <c r="D156" s="608"/>
      <c r="E156" s="608"/>
      <c r="F156" s="608"/>
      <c r="G156" s="608"/>
      <c r="H156" s="608"/>
      <c r="I156" s="126">
        <f>SUM(I151:I155)</f>
        <v>5226.5033166572002</v>
      </c>
    </row>
    <row r="157" spans="1:9" ht="19.5" customHeight="1" x14ac:dyDescent="0.35">
      <c r="A157" s="127" t="s">
        <v>76</v>
      </c>
      <c r="B157" s="609" t="s">
        <v>182</v>
      </c>
      <c r="C157" s="609"/>
      <c r="D157" s="609"/>
      <c r="E157" s="609"/>
      <c r="F157" s="609"/>
      <c r="G157" s="609"/>
      <c r="H157" s="609"/>
      <c r="I157" s="93">
        <f>I142</f>
        <v>565.56999999999994</v>
      </c>
    </row>
    <row r="158" spans="1:9" ht="19.5" customHeight="1" x14ac:dyDescent="0.35">
      <c r="A158" s="566" t="s">
        <v>183</v>
      </c>
      <c r="B158" s="566"/>
      <c r="C158" s="566"/>
      <c r="D158" s="566"/>
      <c r="E158" s="566"/>
      <c r="F158" s="566"/>
      <c r="G158" s="566"/>
      <c r="H158" s="566"/>
      <c r="I158" s="110">
        <f>I156+I157</f>
        <v>5792.0733166571999</v>
      </c>
    </row>
    <row r="159" spans="1:9" ht="19.5" customHeight="1" x14ac:dyDescent="0.35">
      <c r="A159" s="607" t="s">
        <v>355</v>
      </c>
      <c r="B159" s="607"/>
      <c r="C159" s="607"/>
      <c r="D159" s="607"/>
      <c r="E159" s="607"/>
      <c r="F159" s="607"/>
      <c r="G159" s="607"/>
      <c r="H159" s="607"/>
      <c r="I159" s="607"/>
    </row>
    <row r="160" spans="1:9" ht="18.75" customHeight="1" x14ac:dyDescent="0.35">
      <c r="A160" s="604"/>
      <c r="B160" s="604"/>
      <c r="C160" s="604"/>
      <c r="D160" s="604"/>
      <c r="E160" s="604"/>
      <c r="F160" s="604"/>
      <c r="G160" s="604"/>
      <c r="H160" s="604"/>
      <c r="I160" s="604"/>
    </row>
    <row r="161" spans="1:9" ht="18.75" customHeight="1" x14ac:dyDescent="0.35">
      <c r="A161" s="567"/>
      <c r="B161" s="567"/>
      <c r="C161" s="567"/>
      <c r="D161" s="567"/>
      <c r="E161" s="567"/>
      <c r="F161" s="567"/>
      <c r="G161" s="567"/>
      <c r="H161" s="567"/>
      <c r="I161" s="567"/>
    </row>
    <row r="162" spans="1:9" ht="19.5" customHeight="1" x14ac:dyDescent="0.35">
      <c r="A162" s="570" t="s">
        <v>356</v>
      </c>
      <c r="B162" s="570"/>
      <c r="C162" s="570"/>
      <c r="D162" s="570"/>
      <c r="E162" s="570"/>
      <c r="F162" s="570"/>
      <c r="G162" s="570"/>
      <c r="H162" s="570"/>
      <c r="I162" s="570"/>
    </row>
    <row r="163" spans="1:9" ht="34.5" customHeight="1" x14ac:dyDescent="0.35">
      <c r="A163" s="577" t="s">
        <v>357</v>
      </c>
      <c r="B163" s="577"/>
      <c r="C163" s="577"/>
      <c r="D163" s="577"/>
      <c r="E163" s="577" t="s">
        <v>358</v>
      </c>
      <c r="F163" s="577"/>
      <c r="G163" s="69" t="s">
        <v>359</v>
      </c>
      <c r="H163" s="577" t="s">
        <v>360</v>
      </c>
      <c r="I163" s="577"/>
    </row>
    <row r="164" spans="1:9" ht="48" customHeight="1" x14ac:dyDescent="0.35">
      <c r="A164" s="605" t="s">
        <v>367</v>
      </c>
      <c r="B164" s="605"/>
      <c r="C164" s="605"/>
      <c r="D164" s="605"/>
      <c r="E164" s="603">
        <f>I158</f>
        <v>5792.0733166571999</v>
      </c>
      <c r="F164" s="603"/>
      <c r="G164" s="128">
        <v>1</v>
      </c>
      <c r="H164" s="603">
        <f>E164</f>
        <v>5792.0733166571999</v>
      </c>
      <c r="I164" s="603"/>
    </row>
    <row r="165" spans="1:9" ht="19.5" customHeight="1" x14ac:dyDescent="0.35">
      <c r="A165" s="602" t="s">
        <v>368</v>
      </c>
      <c r="B165" s="602"/>
      <c r="C165" s="602"/>
      <c r="D165" s="602"/>
      <c r="E165" s="603">
        <v>0</v>
      </c>
      <c r="F165" s="603"/>
      <c r="G165" s="128">
        <f>D165*F165</f>
        <v>0</v>
      </c>
      <c r="H165" s="603">
        <f>E165*G165</f>
        <v>0</v>
      </c>
      <c r="I165" s="603"/>
    </row>
    <row r="166" spans="1:9" ht="19.5" customHeight="1" x14ac:dyDescent="0.35">
      <c r="A166" s="583" t="s">
        <v>350</v>
      </c>
      <c r="B166" s="583"/>
      <c r="C166" s="583"/>
      <c r="D166" s="583"/>
      <c r="E166" s="583"/>
      <c r="F166" s="583"/>
      <c r="G166" s="128">
        <v>1</v>
      </c>
      <c r="H166" s="603">
        <f>SUM(H164:I165)</f>
        <v>5792.0733166571999</v>
      </c>
      <c r="I166" s="603"/>
    </row>
    <row r="167" spans="1:9" ht="18.75" customHeight="1" x14ac:dyDescent="0.35">
      <c r="A167" s="604"/>
      <c r="B167" s="604"/>
      <c r="C167" s="604"/>
      <c r="D167" s="604"/>
      <c r="E167" s="604"/>
      <c r="F167" s="604"/>
      <c r="G167" s="604"/>
      <c r="H167" s="604"/>
      <c r="I167" s="604"/>
    </row>
    <row r="168" spans="1:9" ht="19.5" customHeight="1" x14ac:dyDescent="0.35">
      <c r="A168" s="605" t="s">
        <v>188</v>
      </c>
      <c r="B168" s="605"/>
      <c r="C168" s="605"/>
      <c r="D168" s="605"/>
      <c r="E168" s="605"/>
      <c r="F168" s="605"/>
      <c r="G168" s="606">
        <f>H166</f>
        <v>5792.0733166571999</v>
      </c>
      <c r="H168" s="606"/>
      <c r="I168" s="606"/>
    </row>
    <row r="170" spans="1:9" ht="19.5" customHeight="1" x14ac:dyDescent="0.35"/>
    <row r="172" spans="1:9" ht="19.5" customHeight="1" x14ac:dyDescent="0.35"/>
  </sheetData>
  <mergeCells count="224">
    <mergeCell ref="A1:I1"/>
    <mergeCell ref="A2:I2"/>
    <mergeCell ref="A3:I3"/>
    <mergeCell ref="A4:I4"/>
    <mergeCell ref="A5:I5"/>
    <mergeCell ref="A6:I6"/>
    <mergeCell ref="B7:G7"/>
    <mergeCell ref="H7:I7"/>
    <mergeCell ref="B8:G8"/>
    <mergeCell ref="H8:I8"/>
    <mergeCell ref="B9:G9"/>
    <mergeCell ref="H9:I9"/>
    <mergeCell ref="B10:G10"/>
    <mergeCell ref="H10:I10"/>
    <mergeCell ref="A11:I11"/>
    <mergeCell ref="A12:I12"/>
    <mergeCell ref="A13:I13"/>
    <mergeCell ref="A14:I14"/>
    <mergeCell ref="B15:G15"/>
    <mergeCell ref="H15:I15"/>
    <mergeCell ref="B16:G16"/>
    <mergeCell ref="H16:I16"/>
    <mergeCell ref="B17:G17"/>
    <mergeCell ref="H17:I17"/>
    <mergeCell ref="B18:G18"/>
    <mergeCell ref="H18:I18"/>
    <mergeCell ref="B19:G19"/>
    <mergeCell ref="H19:I19"/>
    <mergeCell ref="R19:Y19"/>
    <mergeCell ref="EP19:EW19"/>
    <mergeCell ref="EX19:FE19"/>
    <mergeCell ref="FF19:FM19"/>
    <mergeCell ref="Z19:AG19"/>
    <mergeCell ref="AH19:AO19"/>
    <mergeCell ref="AP19:AW19"/>
    <mergeCell ref="AX19:BE19"/>
    <mergeCell ref="BF19:BM19"/>
    <mergeCell ref="BN19:BU19"/>
    <mergeCell ref="BV19:CC19"/>
    <mergeCell ref="CD19:CK19"/>
    <mergeCell ref="CL19:CS19"/>
    <mergeCell ref="IH19:IO19"/>
    <mergeCell ref="A20:I20"/>
    <mergeCell ref="A21:I21"/>
    <mergeCell ref="B22:G22"/>
    <mergeCell ref="H22:I22"/>
    <mergeCell ref="B23:G23"/>
    <mergeCell ref="H23:I23"/>
    <mergeCell ref="B24:G24"/>
    <mergeCell ref="H24:I24"/>
    <mergeCell ref="FN19:FU19"/>
    <mergeCell ref="FV19:GC19"/>
    <mergeCell ref="GD19:GK19"/>
    <mergeCell ref="GL19:GS19"/>
    <mergeCell ref="GT19:HA19"/>
    <mergeCell ref="HB19:HI19"/>
    <mergeCell ref="HJ19:HQ19"/>
    <mergeCell ref="HR19:HY19"/>
    <mergeCell ref="HZ19:IG19"/>
    <mergeCell ref="CT19:DA19"/>
    <mergeCell ref="DB19:DI19"/>
    <mergeCell ref="DJ19:DQ19"/>
    <mergeCell ref="DR19:DY19"/>
    <mergeCell ref="DZ19:EG19"/>
    <mergeCell ref="EH19:EO19"/>
    <mergeCell ref="B25:G25"/>
    <mergeCell ref="H25:I25"/>
    <mergeCell ref="B26:G26"/>
    <mergeCell ref="H26:I26"/>
    <mergeCell ref="B27:G27"/>
    <mergeCell ref="H27:I27"/>
    <mergeCell ref="B28:G28"/>
    <mergeCell ref="H28:I28"/>
    <mergeCell ref="A29:I29"/>
    <mergeCell ref="A30:I30"/>
    <mergeCell ref="B31:G31"/>
    <mergeCell ref="B32:H32"/>
    <mergeCell ref="B33:H33"/>
    <mergeCell ref="A34:H34"/>
    <mergeCell ref="A35:I35"/>
    <mergeCell ref="B36:H36"/>
    <mergeCell ref="A37:H37"/>
    <mergeCell ref="A38:I38"/>
    <mergeCell ref="A39:H39"/>
    <mergeCell ref="A40:I40"/>
    <mergeCell ref="A41:I41"/>
    <mergeCell ref="A42:I42"/>
    <mergeCell ref="B43:H43"/>
    <mergeCell ref="B44:G44"/>
    <mergeCell ref="B45:G45"/>
    <mergeCell ref="A46:H46"/>
    <mergeCell ref="A47:I47"/>
    <mergeCell ref="A48:I48"/>
    <mergeCell ref="B49:G49"/>
    <mergeCell ref="B50:G50"/>
    <mergeCell ref="B51:G51"/>
    <mergeCell ref="B52:C52"/>
    <mergeCell ref="B53:G53"/>
    <mergeCell ref="B54:G54"/>
    <mergeCell ref="B55:G55"/>
    <mergeCell ref="B56:G56"/>
    <mergeCell ref="B57:G57"/>
    <mergeCell ref="A58:G58"/>
    <mergeCell ref="A60:I60"/>
    <mergeCell ref="B61:H61"/>
    <mergeCell ref="A62:A66"/>
    <mergeCell ref="B62:H62"/>
    <mergeCell ref="B63:G63"/>
    <mergeCell ref="B64:G64"/>
    <mergeCell ref="B65:G65"/>
    <mergeCell ref="B66:G66"/>
    <mergeCell ref="A67:A70"/>
    <mergeCell ref="B67:H67"/>
    <mergeCell ref="B68:G68"/>
    <mergeCell ref="B69:G69"/>
    <mergeCell ref="B70:G70"/>
    <mergeCell ref="B71:H71"/>
    <mergeCell ref="B72:H72"/>
    <mergeCell ref="B73:H73"/>
    <mergeCell ref="A74:H74"/>
    <mergeCell ref="A75:I75"/>
    <mergeCell ref="A76:I76"/>
    <mergeCell ref="B77:H77"/>
    <mergeCell ref="B78:H78"/>
    <mergeCell ref="B79:H79"/>
    <mergeCell ref="B80:H80"/>
    <mergeCell ref="A81:H81"/>
    <mergeCell ref="A82:I82"/>
    <mergeCell ref="A83:I83"/>
    <mergeCell ref="B84:H84"/>
    <mergeCell ref="B85:H85"/>
    <mergeCell ref="B86:H86"/>
    <mergeCell ref="B87:H87"/>
    <mergeCell ref="B88:H88"/>
    <mergeCell ref="B89:G89"/>
    <mergeCell ref="A90:H90"/>
    <mergeCell ref="A91:I91"/>
    <mergeCell ref="A92:I92"/>
    <mergeCell ref="A93:H93"/>
    <mergeCell ref="A94:I94"/>
    <mergeCell ref="A95:I95"/>
    <mergeCell ref="B96:H96"/>
    <mergeCell ref="B97:G97"/>
    <mergeCell ref="B98:H98"/>
    <mergeCell ref="B99:H99"/>
    <mergeCell ref="B100:H100"/>
    <mergeCell ref="B101:H101"/>
    <mergeCell ref="B102:H102"/>
    <mergeCell ref="A103:H103"/>
    <mergeCell ref="B104:H104"/>
    <mergeCell ref="A105:H105"/>
    <mergeCell ref="A106:I106"/>
    <mergeCell ref="A107:I107"/>
    <mergeCell ref="B108:H108"/>
    <mergeCell ref="B109:H109"/>
    <mergeCell ref="A110:H110"/>
    <mergeCell ref="B111:H111"/>
    <mergeCell ref="A112:H112"/>
    <mergeCell ref="A113:I113"/>
    <mergeCell ref="A114:I114"/>
    <mergeCell ref="B115:H115"/>
    <mergeCell ref="B116:H116"/>
    <mergeCell ref="B117:H117"/>
    <mergeCell ref="A118:H118"/>
    <mergeCell ref="A119:I119"/>
    <mergeCell ref="A120:I120"/>
    <mergeCell ref="B121:H121"/>
    <mergeCell ref="B122:H122"/>
    <mergeCell ref="B123:H123"/>
    <mergeCell ref="A124:H124"/>
    <mergeCell ref="A125:I125"/>
    <mergeCell ref="A126:I126"/>
    <mergeCell ref="B127:H127"/>
    <mergeCell ref="A128:G128"/>
    <mergeCell ref="B129:G129"/>
    <mergeCell ref="A130:G130"/>
    <mergeCell ref="B131:G131"/>
    <mergeCell ref="A132:G132"/>
    <mergeCell ref="A133:A141"/>
    <mergeCell ref="B133:G133"/>
    <mergeCell ref="B134:G134"/>
    <mergeCell ref="B135:G135"/>
    <mergeCell ref="B136:G136"/>
    <mergeCell ref="B137:G137"/>
    <mergeCell ref="B138:G138"/>
    <mergeCell ref="B139:G139"/>
    <mergeCell ref="B140:G140"/>
    <mergeCell ref="B141:G141"/>
    <mergeCell ref="A142:H142"/>
    <mergeCell ref="A143:I143"/>
    <mergeCell ref="A144:G144"/>
    <mergeCell ref="A145:B147"/>
    <mergeCell ref="C145:I145"/>
    <mergeCell ref="C146:I146"/>
    <mergeCell ref="C147:I147"/>
    <mergeCell ref="A148:I148"/>
    <mergeCell ref="A149:I149"/>
    <mergeCell ref="A150:H150"/>
    <mergeCell ref="B151:H151"/>
    <mergeCell ref="B152:H152"/>
    <mergeCell ref="B153:H153"/>
    <mergeCell ref="B154:H154"/>
    <mergeCell ref="B155:H155"/>
    <mergeCell ref="A156:H156"/>
    <mergeCell ref="B157:H157"/>
    <mergeCell ref="A158:H158"/>
    <mergeCell ref="A165:D165"/>
    <mergeCell ref="E165:F165"/>
    <mergeCell ref="H165:I165"/>
    <mergeCell ref="A166:F166"/>
    <mergeCell ref="H166:I166"/>
    <mergeCell ref="A167:I167"/>
    <mergeCell ref="A168:F168"/>
    <mergeCell ref="G168:I168"/>
    <mergeCell ref="A159:I159"/>
    <mergeCell ref="A160:I160"/>
    <mergeCell ref="A161:I161"/>
    <mergeCell ref="A162:I162"/>
    <mergeCell ref="A163:D163"/>
    <mergeCell ref="E163:F163"/>
    <mergeCell ref="H163:I163"/>
    <mergeCell ref="A164:D164"/>
    <mergeCell ref="E164:F164"/>
    <mergeCell ref="H164:I164"/>
  </mergeCells>
  <printOptions horizontalCentered="1" verticalCentered="1"/>
  <pageMargins left="0" right="0" top="0" bottom="0.13888888888888901" header="0.511811023622047" footer="0"/>
  <pageSetup paperSize="9" pageOrder="overThenDown" orientation="portrait" useFirstPageNumber="1" horizontalDpi="300" verticalDpi="300"/>
  <headerFooter>
    <oddFooter>&amp;C&amp;10Página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showGridLines="0" view="pageBreakPreview" topLeftCell="A11" zoomScale="130" zoomScaleNormal="145" zoomScaleSheetLayoutView="130" workbookViewId="0">
      <selection activeCell="F25" sqref="F25"/>
    </sheetView>
  </sheetViews>
  <sheetFormatPr defaultColWidth="10.5" defaultRowHeight="14" x14ac:dyDescent="0.3"/>
  <cols>
    <col min="1" max="1" width="22.5" customWidth="1"/>
    <col min="3" max="3" width="11.83203125" customWidth="1"/>
    <col min="5" max="5" width="14.08203125" customWidth="1"/>
    <col min="6" max="6" width="13.5" customWidth="1"/>
  </cols>
  <sheetData>
    <row r="1" spans="1:6" ht="14.5" x14ac:dyDescent="0.3">
      <c r="A1" s="300" t="s">
        <v>0</v>
      </c>
      <c r="B1" s="300"/>
      <c r="C1" s="300"/>
      <c r="D1" s="300"/>
      <c r="E1" s="300"/>
      <c r="F1" s="300"/>
    </row>
    <row r="2" spans="1:6" ht="14.5" x14ac:dyDescent="0.3">
      <c r="A2" s="301"/>
      <c r="B2" s="301"/>
      <c r="C2" s="301"/>
      <c r="D2" s="301"/>
      <c r="E2" s="301"/>
      <c r="F2" s="301"/>
    </row>
    <row r="3" spans="1:6" ht="29.15" customHeight="1" x14ac:dyDescent="0.3">
      <c r="A3" s="299" t="s">
        <v>445</v>
      </c>
      <c r="B3" s="299"/>
      <c r="C3" s="299"/>
      <c r="D3" s="299"/>
      <c r="E3" s="299"/>
      <c r="F3" s="299"/>
    </row>
    <row r="4" spans="1:6" ht="14.5" x14ac:dyDescent="0.3">
      <c r="A4" s="300" t="s">
        <v>1</v>
      </c>
      <c r="B4" s="300"/>
      <c r="C4" s="300"/>
      <c r="D4" s="300"/>
      <c r="E4" s="300"/>
      <c r="F4" s="300"/>
    </row>
    <row r="5" spans="1:6" ht="14.5" x14ac:dyDescent="0.3">
      <c r="A5" s="282" t="s">
        <v>2</v>
      </c>
      <c r="B5" s="282" t="s">
        <v>3</v>
      </c>
      <c r="C5" s="282" t="s">
        <v>4</v>
      </c>
      <c r="D5" s="282" t="s">
        <v>5</v>
      </c>
      <c r="E5" s="282" t="s">
        <v>446</v>
      </c>
      <c r="F5" s="282" t="s">
        <v>7</v>
      </c>
    </row>
    <row r="6" spans="1:6" ht="14.5" x14ac:dyDescent="0.35">
      <c r="A6" s="283" t="s">
        <v>8</v>
      </c>
      <c r="B6" s="284">
        <v>4</v>
      </c>
      <c r="C6" s="289">
        <v>210.82</v>
      </c>
      <c r="D6" s="288">
        <f t="shared" ref="D6:D11" si="0">C6*B6</f>
        <v>843.28</v>
      </c>
      <c r="E6" s="284">
        <v>12</v>
      </c>
      <c r="F6" s="285">
        <f>(D6/E6)</f>
        <v>70.273333333333326</v>
      </c>
    </row>
    <row r="7" spans="1:6" ht="14.5" x14ac:dyDescent="0.35">
      <c r="A7" s="283" t="s">
        <v>9</v>
      </c>
      <c r="B7" s="284">
        <v>4</v>
      </c>
      <c r="C7" s="289">
        <v>79.86</v>
      </c>
      <c r="D7" s="288">
        <f t="shared" si="0"/>
        <v>319.44</v>
      </c>
      <c r="E7" s="284">
        <v>12</v>
      </c>
      <c r="F7" s="285">
        <f t="shared" ref="F7:F13" si="1">(D7/E7)</f>
        <v>26.62</v>
      </c>
    </row>
    <row r="8" spans="1:6" ht="14.5" x14ac:dyDescent="0.35">
      <c r="A8" s="283" t="s">
        <v>10</v>
      </c>
      <c r="B8" s="284">
        <v>2</v>
      </c>
      <c r="C8" s="289">
        <v>147.38999999999999</v>
      </c>
      <c r="D8" s="288">
        <f t="shared" si="0"/>
        <v>294.77999999999997</v>
      </c>
      <c r="E8" s="284">
        <v>12</v>
      </c>
      <c r="F8" s="285">
        <f t="shared" si="1"/>
        <v>24.564999999999998</v>
      </c>
    </row>
    <row r="9" spans="1:6" ht="14.5" x14ac:dyDescent="0.35">
      <c r="A9" s="283" t="s">
        <v>11</v>
      </c>
      <c r="B9" s="284">
        <v>2</v>
      </c>
      <c r="C9" s="289">
        <v>193.08</v>
      </c>
      <c r="D9" s="288">
        <f t="shared" si="0"/>
        <v>386.16</v>
      </c>
      <c r="E9" s="284">
        <v>12</v>
      </c>
      <c r="F9" s="285">
        <f t="shared" si="1"/>
        <v>32.18</v>
      </c>
    </row>
    <row r="10" spans="1:6" ht="14.5" x14ac:dyDescent="0.35">
      <c r="A10" s="283" t="s">
        <v>12</v>
      </c>
      <c r="B10" s="284">
        <v>2</v>
      </c>
      <c r="C10" s="289">
        <v>60.62</v>
      </c>
      <c r="D10" s="288">
        <f t="shared" si="0"/>
        <v>121.24</v>
      </c>
      <c r="E10" s="284">
        <v>12</v>
      </c>
      <c r="F10" s="285">
        <f t="shared" si="1"/>
        <v>10.103333333333333</v>
      </c>
    </row>
    <row r="11" spans="1:6" ht="14.5" x14ac:dyDescent="0.35">
      <c r="A11" s="283" t="s">
        <v>13</v>
      </c>
      <c r="B11" s="284">
        <v>2</v>
      </c>
      <c r="C11" s="289">
        <v>232.31</v>
      </c>
      <c r="D11" s="288">
        <f t="shared" si="0"/>
        <v>464.62</v>
      </c>
      <c r="E11" s="284">
        <v>12</v>
      </c>
      <c r="F11" s="285">
        <f t="shared" si="1"/>
        <v>38.718333333333334</v>
      </c>
    </row>
    <row r="12" spans="1:6" ht="14.5" x14ac:dyDescent="0.35">
      <c r="A12" s="283" t="s">
        <v>16</v>
      </c>
      <c r="B12" s="284">
        <v>4</v>
      </c>
      <c r="C12" s="289">
        <v>15.32</v>
      </c>
      <c r="D12" s="288">
        <f t="shared" ref="D12:D17" si="2">C12*B12</f>
        <v>61.28</v>
      </c>
      <c r="E12" s="284">
        <v>12</v>
      </c>
      <c r="F12" s="285">
        <f t="shared" si="1"/>
        <v>5.1066666666666665</v>
      </c>
    </row>
    <row r="13" spans="1:6" ht="14.5" x14ac:dyDescent="0.35">
      <c r="A13" s="283" t="s">
        <v>15</v>
      </c>
      <c r="B13" s="284">
        <v>2</v>
      </c>
      <c r="C13" s="289">
        <v>20.38</v>
      </c>
      <c r="D13" s="288">
        <f t="shared" si="2"/>
        <v>40.76</v>
      </c>
      <c r="E13" s="284">
        <v>12</v>
      </c>
      <c r="F13" s="285">
        <f t="shared" si="1"/>
        <v>3.3966666666666665</v>
      </c>
    </row>
    <row r="14" spans="1:6" ht="14.5" x14ac:dyDescent="0.35">
      <c r="A14" s="283" t="s">
        <v>14</v>
      </c>
      <c r="B14" s="284">
        <v>2</v>
      </c>
      <c r="C14" s="289">
        <v>27.25</v>
      </c>
      <c r="D14" s="288">
        <f t="shared" si="2"/>
        <v>54.5</v>
      </c>
      <c r="E14" s="284">
        <v>12</v>
      </c>
      <c r="F14" s="285">
        <f t="shared" ref="F14:F17" si="3">(D14/E14)</f>
        <v>4.541666666666667</v>
      </c>
    </row>
    <row r="15" spans="1:6" ht="14.5" x14ac:dyDescent="0.35">
      <c r="A15" s="283"/>
      <c r="B15" s="284"/>
      <c r="C15" s="289"/>
      <c r="D15" s="288">
        <f t="shared" si="2"/>
        <v>0</v>
      </c>
      <c r="E15" s="284">
        <v>12</v>
      </c>
      <c r="F15" s="285">
        <f t="shared" si="3"/>
        <v>0</v>
      </c>
    </row>
    <row r="16" spans="1:6" ht="14.5" x14ac:dyDescent="0.35">
      <c r="A16" s="283"/>
      <c r="B16" s="284"/>
      <c r="C16" s="289"/>
      <c r="D16" s="288">
        <f t="shared" si="2"/>
        <v>0</v>
      </c>
      <c r="E16" s="284">
        <v>12</v>
      </c>
      <c r="F16" s="285">
        <f t="shared" si="3"/>
        <v>0</v>
      </c>
    </row>
    <row r="17" spans="1:6" ht="14.5" x14ac:dyDescent="0.35">
      <c r="A17" s="283"/>
      <c r="B17" s="284"/>
      <c r="C17" s="289"/>
      <c r="D17" s="288">
        <f t="shared" si="2"/>
        <v>0</v>
      </c>
      <c r="E17" s="284">
        <v>12</v>
      </c>
      <c r="F17" s="285">
        <f t="shared" si="3"/>
        <v>0</v>
      </c>
    </row>
    <row r="18" spans="1:6" ht="14.5" x14ac:dyDescent="0.35">
      <c r="A18" s="297" t="s">
        <v>17</v>
      </c>
      <c r="B18" s="297"/>
      <c r="C18" s="297"/>
      <c r="D18" s="297"/>
      <c r="E18" s="297"/>
      <c r="F18" s="286">
        <f>TRUNC(SUM(F6:F17),2)</f>
        <v>215.5</v>
      </c>
    </row>
    <row r="19" spans="1:6" ht="14.5" x14ac:dyDescent="0.35">
      <c r="A19" s="298"/>
      <c r="B19" s="298"/>
      <c r="C19" s="298"/>
      <c r="D19" s="1"/>
      <c r="E19" s="1"/>
      <c r="F19" s="1"/>
    </row>
    <row r="20" spans="1:6" ht="26.5" customHeight="1" x14ac:dyDescent="0.3">
      <c r="A20" s="299" t="s">
        <v>447</v>
      </c>
      <c r="B20" s="299"/>
      <c r="C20" s="299"/>
      <c r="D20" s="299"/>
      <c r="E20" s="299"/>
      <c r="F20" s="299"/>
    </row>
    <row r="21" spans="1:6" ht="14.5" x14ac:dyDescent="0.3">
      <c r="A21" s="300" t="s">
        <v>18</v>
      </c>
      <c r="B21" s="300"/>
      <c r="C21" s="300"/>
      <c r="D21" s="300"/>
      <c r="E21" s="300"/>
      <c r="F21" s="300"/>
    </row>
    <row r="22" spans="1:6" ht="14.5" x14ac:dyDescent="0.35">
      <c r="A22" s="287" t="s">
        <v>2</v>
      </c>
      <c r="B22" s="287" t="s">
        <v>3</v>
      </c>
      <c r="C22" s="287" t="s">
        <v>4</v>
      </c>
      <c r="D22" s="287" t="s">
        <v>19</v>
      </c>
      <c r="E22" s="282" t="s">
        <v>6</v>
      </c>
      <c r="F22" s="282" t="s">
        <v>7</v>
      </c>
    </row>
    <row r="23" spans="1:6" ht="14.5" x14ac:dyDescent="0.35">
      <c r="A23" s="283" t="s">
        <v>20</v>
      </c>
      <c r="B23" s="284">
        <v>1</v>
      </c>
      <c r="C23" s="289">
        <v>6712.81</v>
      </c>
      <c r="D23" s="288">
        <f t="shared" ref="D23:D31" si="4">C23*B23</f>
        <v>6712.81</v>
      </c>
      <c r="E23" s="284">
        <v>48</v>
      </c>
      <c r="F23" s="285">
        <f t="shared" ref="F23:F31" si="5">(D23/E23)</f>
        <v>139.85020833333334</v>
      </c>
    </row>
    <row r="24" spans="1:6" ht="14.5" x14ac:dyDescent="0.35">
      <c r="A24" s="283" t="s">
        <v>21</v>
      </c>
      <c r="B24" s="284">
        <v>12</v>
      </c>
      <c r="C24" s="289">
        <v>12.33</v>
      </c>
      <c r="D24" s="288">
        <f t="shared" si="4"/>
        <v>147.96</v>
      </c>
      <c r="E24" s="284">
        <v>24</v>
      </c>
      <c r="F24" s="285">
        <f t="shared" si="5"/>
        <v>6.165</v>
      </c>
    </row>
    <row r="25" spans="1:6" ht="14.5" x14ac:dyDescent="0.35">
      <c r="A25" s="283" t="s">
        <v>22</v>
      </c>
      <c r="B25" s="284">
        <v>1</v>
      </c>
      <c r="C25" s="289">
        <v>2791.53</v>
      </c>
      <c r="D25" s="288">
        <f t="shared" si="4"/>
        <v>2791.53</v>
      </c>
      <c r="E25" s="284">
        <v>48</v>
      </c>
      <c r="F25" s="285">
        <f t="shared" si="5"/>
        <v>58.156875000000007</v>
      </c>
    </row>
    <row r="26" spans="1:6" ht="14.5" x14ac:dyDescent="0.35">
      <c r="A26" s="283" t="s">
        <v>23</v>
      </c>
      <c r="B26" s="284">
        <v>1</v>
      </c>
      <c r="C26" s="289">
        <v>31.05</v>
      </c>
      <c r="D26" s="288">
        <f t="shared" si="4"/>
        <v>31.05</v>
      </c>
      <c r="E26" s="284">
        <v>12</v>
      </c>
      <c r="F26" s="285">
        <f t="shared" si="5"/>
        <v>2.5874999999999999</v>
      </c>
    </row>
    <row r="27" spans="1:6" ht="14.5" x14ac:dyDescent="0.35">
      <c r="A27" s="283" t="s">
        <v>24</v>
      </c>
      <c r="B27" s="284">
        <v>1</v>
      </c>
      <c r="C27" s="289">
        <v>51.17</v>
      </c>
      <c r="D27" s="288">
        <f t="shared" si="4"/>
        <v>51.17</v>
      </c>
      <c r="E27" s="284">
        <v>48</v>
      </c>
      <c r="F27" s="285">
        <f t="shared" si="5"/>
        <v>1.0660416666666668</v>
      </c>
    </row>
    <row r="28" spans="1:6" ht="14.5" x14ac:dyDescent="0.35">
      <c r="A28" s="283" t="s">
        <v>25</v>
      </c>
      <c r="B28" s="284">
        <v>1</v>
      </c>
      <c r="C28" s="289">
        <v>49.74</v>
      </c>
      <c r="D28" s="288">
        <f t="shared" si="4"/>
        <v>49.74</v>
      </c>
      <c r="E28" s="284">
        <v>48</v>
      </c>
      <c r="F28" s="285">
        <f t="shared" si="5"/>
        <v>1.0362500000000001</v>
      </c>
    </row>
    <row r="29" spans="1:6" ht="14.5" x14ac:dyDescent="0.35">
      <c r="A29" s="283" t="s">
        <v>26</v>
      </c>
      <c r="B29" s="284">
        <v>1</v>
      </c>
      <c r="C29" s="289">
        <v>742.4</v>
      </c>
      <c r="D29" s="288">
        <f t="shared" si="4"/>
        <v>742.4</v>
      </c>
      <c r="E29" s="284">
        <v>48</v>
      </c>
      <c r="F29" s="285">
        <f t="shared" si="5"/>
        <v>15.466666666666667</v>
      </c>
    </row>
    <row r="30" spans="1:6" ht="14.5" x14ac:dyDescent="0.35">
      <c r="A30" s="283" t="s">
        <v>27</v>
      </c>
      <c r="B30" s="284">
        <v>1</v>
      </c>
      <c r="C30" s="289">
        <v>439.14</v>
      </c>
      <c r="D30" s="288">
        <f t="shared" si="4"/>
        <v>439.14</v>
      </c>
      <c r="E30" s="284">
        <v>48</v>
      </c>
      <c r="F30" s="285">
        <f t="shared" si="5"/>
        <v>9.1487499999999997</v>
      </c>
    </row>
    <row r="31" spans="1:6" ht="14.5" x14ac:dyDescent="0.35">
      <c r="A31" s="283" t="s">
        <v>28</v>
      </c>
      <c r="B31" s="284">
        <v>1</v>
      </c>
      <c r="C31" s="289">
        <v>68.650000000000006</v>
      </c>
      <c r="D31" s="288">
        <f t="shared" si="4"/>
        <v>68.650000000000006</v>
      </c>
      <c r="E31" s="284">
        <v>12</v>
      </c>
      <c r="F31" s="285">
        <f t="shared" si="5"/>
        <v>5.7208333333333341</v>
      </c>
    </row>
    <row r="32" spans="1:6" ht="14.5" x14ac:dyDescent="0.35">
      <c r="A32" s="283" t="s">
        <v>29</v>
      </c>
      <c r="B32" s="284">
        <v>3</v>
      </c>
      <c r="C32" s="289">
        <v>8.6300000000000008</v>
      </c>
      <c r="D32" s="288">
        <f t="shared" ref="D32:D33" si="6">C32*B32</f>
        <v>25.89</v>
      </c>
      <c r="E32" s="284">
        <v>12</v>
      </c>
      <c r="F32" s="285">
        <f t="shared" ref="F32:F33" si="7">(D32/E32)</f>
        <v>2.1575000000000002</v>
      </c>
    </row>
    <row r="33" spans="1:6" ht="14.5" x14ac:dyDescent="0.35">
      <c r="A33" s="283"/>
      <c r="B33" s="284"/>
      <c r="C33" s="289"/>
      <c r="D33" s="288">
        <f t="shared" si="6"/>
        <v>0</v>
      </c>
      <c r="E33" s="284">
        <v>12</v>
      </c>
      <c r="F33" s="285">
        <f t="shared" si="7"/>
        <v>0</v>
      </c>
    </row>
    <row r="34" spans="1:6" ht="14.5" x14ac:dyDescent="0.35">
      <c r="A34" s="283"/>
      <c r="B34" s="284"/>
      <c r="C34" s="289"/>
      <c r="D34" s="288">
        <f t="shared" ref="D34:D35" si="8">C34*B34</f>
        <v>0</v>
      </c>
      <c r="E34" s="284">
        <v>12</v>
      </c>
      <c r="F34" s="285">
        <f t="shared" ref="F34:F35" si="9">(D34/E34)</f>
        <v>0</v>
      </c>
    </row>
    <row r="35" spans="1:6" ht="14.5" x14ac:dyDescent="0.35">
      <c r="A35" s="283"/>
      <c r="B35" s="284"/>
      <c r="C35" s="289"/>
      <c r="D35" s="288">
        <f t="shared" si="8"/>
        <v>0</v>
      </c>
      <c r="E35" s="284">
        <v>12</v>
      </c>
      <c r="F35" s="285">
        <f t="shared" si="9"/>
        <v>0</v>
      </c>
    </row>
    <row r="36" spans="1:6" ht="14.5" x14ac:dyDescent="0.35">
      <c r="A36" s="297" t="s">
        <v>17</v>
      </c>
      <c r="B36" s="297"/>
      <c r="C36" s="297"/>
      <c r="D36" s="297"/>
      <c r="E36" s="297"/>
      <c r="F36" s="286">
        <f>TRUNC(SUM(F23:F35),2)</f>
        <v>241.35</v>
      </c>
    </row>
  </sheetData>
  <sheetProtection algorithmName="SHA-512" hashValue="ox55xClXxQ5/oDiMtHmSBGXo8yhAxMstSLbtGezTjcPllsQwMog6p/70qX9MfG3bCVf1CYpN3YWU4ZrxXiuwLg==" saltValue="N0X2zi9yGiYaA8/UVJfWpw==" spinCount="100000" sheet="1" objects="1" scenarios="1"/>
  <protectedRanges>
    <protectedRange sqref="A6:C17 E6:E17 A23:C35 E23:E35" name="Intervalo1"/>
  </protectedRanges>
  <mergeCells count="9">
    <mergeCell ref="A36:E36"/>
    <mergeCell ref="A19:C19"/>
    <mergeCell ref="A20:F20"/>
    <mergeCell ref="A21:F21"/>
    <mergeCell ref="A1:F1"/>
    <mergeCell ref="A2:F2"/>
    <mergeCell ref="A3:F3"/>
    <mergeCell ref="A4:F4"/>
    <mergeCell ref="A18:E18"/>
  </mergeCells>
  <pageMargins left="0.78740157480314965" right="0.66" top="1.0629921259842521" bottom="1.0629921259842521" header="0.78740157480314965" footer="0.78740157480314965"/>
  <pageSetup paperSize="9" scale="80" orientation="portrait" horizontalDpi="300" verticalDpi="300" r:id="rId1"/>
  <headerFooter>
    <oddHeader>&amp;L&amp;A&amp;C&amp;"Times New Roman,Normal"&amp;12&amp;KFFFFFF&amp;A</oddHeader>
    <oddFooter>&amp;C&amp;"Times New Roman,Normal"&amp;12&amp;KffffffPágina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B40ED-B0C8-4D7B-817B-85CDD5FD0CBF}">
  <dimension ref="A2:L63"/>
  <sheetViews>
    <sheetView topLeftCell="A44" workbookViewId="0">
      <selection activeCell="I38" sqref="I38"/>
    </sheetView>
  </sheetViews>
  <sheetFormatPr defaultRowHeight="13" x14ac:dyDescent="0.3"/>
  <cols>
    <col min="1" max="6" width="8.6640625" style="232"/>
    <col min="7" max="7" width="6.9140625" style="232" customWidth="1"/>
    <col min="8" max="8" width="12" style="232" customWidth="1"/>
    <col min="9" max="9" width="12.9140625" style="232" customWidth="1"/>
    <col min="10" max="16384" width="8.6640625" style="232"/>
  </cols>
  <sheetData>
    <row r="2" spans="1:9" x14ac:dyDescent="0.3">
      <c r="A2" s="318" t="s">
        <v>419</v>
      </c>
      <c r="B2" s="318"/>
      <c r="C2" s="318"/>
      <c r="D2" s="318"/>
      <c r="E2" s="318"/>
      <c r="F2" s="318"/>
      <c r="G2" s="318"/>
      <c r="H2" s="318"/>
      <c r="I2" s="318"/>
    </row>
    <row r="3" spans="1:9" ht="45" customHeight="1" x14ac:dyDescent="0.3">
      <c r="A3" s="311" t="s">
        <v>411</v>
      </c>
      <c r="B3" s="311"/>
      <c r="C3" s="331" t="s">
        <v>430</v>
      </c>
      <c r="D3" s="331"/>
      <c r="E3" s="331"/>
      <c r="F3" s="331"/>
      <c r="G3" s="331"/>
      <c r="H3" s="331"/>
      <c r="I3" s="331"/>
    </row>
    <row r="4" spans="1:9" x14ac:dyDescent="0.3">
      <c r="A4" s="305" t="s">
        <v>400</v>
      </c>
      <c r="B4" s="305"/>
      <c r="C4" s="305"/>
      <c r="D4" s="305"/>
      <c r="E4" s="319" t="s">
        <v>374</v>
      </c>
      <c r="F4" s="320"/>
      <c r="G4" s="321"/>
    </row>
    <row r="5" spans="1:9" x14ac:dyDescent="0.3">
      <c r="A5" s="305" t="s">
        <v>401</v>
      </c>
      <c r="B5" s="305"/>
      <c r="C5" s="305"/>
      <c r="D5" s="305"/>
      <c r="E5" s="322" t="s">
        <v>457</v>
      </c>
      <c r="F5" s="323"/>
      <c r="G5" s="324"/>
    </row>
    <row r="6" spans="1:9" x14ac:dyDescent="0.3">
      <c r="A6" s="305" t="s">
        <v>402</v>
      </c>
      <c r="B6" s="305"/>
      <c r="C6" s="305"/>
      <c r="D6" s="305"/>
      <c r="E6" s="302" t="s">
        <v>431</v>
      </c>
      <c r="F6" s="303"/>
      <c r="G6" s="304"/>
    </row>
    <row r="7" spans="1:9" x14ac:dyDescent="0.3">
      <c r="A7" s="305" t="s">
        <v>403</v>
      </c>
      <c r="B7" s="305"/>
      <c r="C7" s="305"/>
      <c r="D7" s="305"/>
      <c r="E7" s="322" t="s">
        <v>413</v>
      </c>
      <c r="F7" s="323"/>
      <c r="G7" s="324"/>
    </row>
    <row r="8" spans="1:9" ht="14" customHeight="1" x14ac:dyDescent="0.3">
      <c r="A8" s="311" t="s">
        <v>412</v>
      </c>
      <c r="B8" s="311"/>
      <c r="C8" s="311"/>
      <c r="D8" s="311"/>
      <c r="E8" s="328" t="s">
        <v>431</v>
      </c>
      <c r="F8" s="329"/>
      <c r="G8" s="330"/>
    </row>
    <row r="9" spans="1:9" x14ac:dyDescent="0.3">
      <c r="A9" s="305" t="s">
        <v>414</v>
      </c>
      <c r="B9" s="305"/>
      <c r="C9" s="305"/>
      <c r="D9" s="305"/>
      <c r="E9" s="332" t="s">
        <v>376</v>
      </c>
      <c r="F9" s="333"/>
      <c r="G9" s="334"/>
    </row>
    <row r="10" spans="1:9" x14ac:dyDescent="0.3">
      <c r="A10" s="305" t="s">
        <v>404</v>
      </c>
      <c r="B10" s="305"/>
      <c r="C10" s="305"/>
      <c r="D10" s="305"/>
      <c r="E10" s="302" t="s">
        <v>405</v>
      </c>
      <c r="F10" s="303"/>
      <c r="G10" s="304"/>
    </row>
    <row r="11" spans="1:9" x14ac:dyDescent="0.3">
      <c r="A11" s="305" t="s">
        <v>435</v>
      </c>
      <c r="B11" s="305"/>
      <c r="C11" s="305"/>
      <c r="D11" s="305"/>
      <c r="E11" s="325" t="s">
        <v>432</v>
      </c>
      <c r="F11" s="326"/>
      <c r="G11" s="327"/>
    </row>
    <row r="12" spans="1:9" ht="14" customHeight="1" x14ac:dyDescent="0.3">
      <c r="A12" s="312" t="s">
        <v>406</v>
      </c>
      <c r="B12" s="312"/>
      <c r="C12" s="312"/>
      <c r="D12" s="314" t="s">
        <v>199</v>
      </c>
      <c r="E12" s="314"/>
      <c r="F12" s="220" t="s">
        <v>420</v>
      </c>
      <c r="G12" s="222" t="s">
        <v>455</v>
      </c>
    </row>
    <row r="13" spans="1:9" x14ac:dyDescent="0.3">
      <c r="A13" s="311" t="s">
        <v>407</v>
      </c>
      <c r="B13" s="311"/>
      <c r="C13" s="311"/>
      <c r="D13" s="311"/>
      <c r="E13" s="307" t="s">
        <v>415</v>
      </c>
      <c r="F13" s="307"/>
      <c r="G13" s="307"/>
    </row>
    <row r="14" spans="1:9" x14ac:dyDescent="0.3">
      <c r="A14" s="312" t="s">
        <v>416</v>
      </c>
      <c r="B14" s="312"/>
      <c r="C14" s="312"/>
      <c r="D14" s="312"/>
      <c r="E14" s="306">
        <v>45658</v>
      </c>
      <c r="F14" s="306"/>
      <c r="G14" s="306"/>
    </row>
    <row r="15" spans="1:9" x14ac:dyDescent="0.3">
      <c r="A15" s="312" t="s">
        <v>408</v>
      </c>
      <c r="B15" s="312"/>
      <c r="C15" s="312"/>
      <c r="D15" s="312"/>
      <c r="E15" s="313">
        <v>24</v>
      </c>
      <c r="F15" s="313"/>
      <c r="G15" s="313"/>
    </row>
    <row r="16" spans="1:9" x14ac:dyDescent="0.3">
      <c r="A16" s="312" t="s">
        <v>409</v>
      </c>
      <c r="B16" s="312"/>
      <c r="C16" s="312"/>
      <c r="D16" s="312"/>
      <c r="E16" s="313" t="s">
        <v>410</v>
      </c>
      <c r="F16" s="313"/>
      <c r="G16" s="313"/>
    </row>
    <row r="18" spans="1:9" ht="17.25" customHeight="1" x14ac:dyDescent="0.3">
      <c r="A18" s="335" t="s">
        <v>439</v>
      </c>
      <c r="B18" s="335"/>
      <c r="C18" s="335"/>
      <c r="D18" s="335"/>
      <c r="E18" s="335"/>
      <c r="F18" s="335"/>
      <c r="G18" s="335"/>
      <c r="H18" s="335"/>
      <c r="I18" s="335"/>
    </row>
    <row r="19" spans="1:9" x14ac:dyDescent="0.3">
      <c r="A19" s="223">
        <v>1</v>
      </c>
      <c r="B19" s="356" t="s">
        <v>65</v>
      </c>
      <c r="C19" s="356"/>
      <c r="D19" s="356"/>
      <c r="E19" s="356"/>
      <c r="F19" s="356"/>
      <c r="G19" s="356"/>
      <c r="H19" s="233" t="s">
        <v>84</v>
      </c>
      <c r="I19" s="224" t="s">
        <v>85</v>
      </c>
    </row>
    <row r="20" spans="1:9" ht="27.75" customHeight="1" x14ac:dyDescent="0.3">
      <c r="A20" s="225" t="s">
        <v>34</v>
      </c>
      <c r="B20" s="311" t="s">
        <v>417</v>
      </c>
      <c r="C20" s="311"/>
      <c r="D20" s="311"/>
      <c r="E20" s="311"/>
      <c r="F20" s="311"/>
      <c r="G20" s="311"/>
      <c r="H20" s="221"/>
      <c r="I20" s="226">
        <v>1757.2</v>
      </c>
    </row>
    <row r="21" spans="1:9" ht="27.75" customHeight="1" x14ac:dyDescent="0.3">
      <c r="A21" s="225" t="s">
        <v>34</v>
      </c>
      <c r="B21" s="311" t="s">
        <v>418</v>
      </c>
      <c r="C21" s="311"/>
      <c r="D21" s="311"/>
      <c r="E21" s="311"/>
      <c r="F21" s="311"/>
      <c r="G21" s="311"/>
      <c r="H21" s="221"/>
      <c r="I21" s="226">
        <v>1757.2</v>
      </c>
    </row>
    <row r="22" spans="1:9" ht="27.75" customHeight="1" x14ac:dyDescent="0.3">
      <c r="A22" s="225" t="s">
        <v>36</v>
      </c>
      <c r="B22" s="311" t="s">
        <v>421</v>
      </c>
      <c r="C22" s="311"/>
      <c r="D22" s="311"/>
      <c r="E22" s="311"/>
      <c r="F22" s="311"/>
      <c r="G22" s="311"/>
      <c r="H22" s="242">
        <v>0.3</v>
      </c>
      <c r="I22" s="227"/>
    </row>
    <row r="23" spans="1:9" x14ac:dyDescent="0.3">
      <c r="A23" s="357"/>
      <c r="B23" s="357"/>
      <c r="C23" s="357"/>
      <c r="D23" s="357"/>
      <c r="E23" s="357"/>
      <c r="F23" s="357"/>
      <c r="G23" s="357"/>
      <c r="H23" s="357"/>
      <c r="I23" s="357"/>
    </row>
    <row r="24" spans="1:9" x14ac:dyDescent="0.3">
      <c r="A24" s="343" t="s">
        <v>426</v>
      </c>
      <c r="B24" s="343"/>
      <c r="C24" s="343"/>
      <c r="D24" s="343"/>
      <c r="E24" s="343"/>
      <c r="F24" s="343"/>
      <c r="G24" s="343"/>
      <c r="H24" s="343"/>
      <c r="I24" s="343"/>
    </row>
    <row r="25" spans="1:9" ht="30" customHeight="1" x14ac:dyDescent="0.3">
      <c r="A25" s="234" t="s">
        <v>89</v>
      </c>
      <c r="B25" s="315" t="s">
        <v>90</v>
      </c>
      <c r="C25" s="316"/>
      <c r="D25" s="316"/>
      <c r="E25" s="316"/>
      <c r="F25" s="316"/>
      <c r="G25" s="316"/>
      <c r="H25" s="317"/>
      <c r="I25" s="235" t="s">
        <v>437</v>
      </c>
    </row>
    <row r="26" spans="1:9" x14ac:dyDescent="0.3">
      <c r="A26" s="228" t="s">
        <v>34</v>
      </c>
      <c r="B26" s="308" t="s">
        <v>422</v>
      </c>
      <c r="C26" s="309"/>
      <c r="D26" s="309"/>
      <c r="E26" s="309"/>
      <c r="F26" s="309"/>
      <c r="G26" s="309"/>
      <c r="H26" s="310"/>
      <c r="I26" s="243">
        <v>0.2</v>
      </c>
    </row>
    <row r="27" spans="1:9" ht="14.25" customHeight="1" x14ac:dyDescent="0.3">
      <c r="A27" s="228" t="s">
        <v>36</v>
      </c>
      <c r="B27" s="308" t="s">
        <v>92</v>
      </c>
      <c r="C27" s="309"/>
      <c r="D27" s="309"/>
      <c r="E27" s="309"/>
      <c r="F27" s="309"/>
      <c r="G27" s="309"/>
      <c r="H27" s="310"/>
      <c r="I27" s="243">
        <v>2.5000000000000001E-2</v>
      </c>
    </row>
    <row r="28" spans="1:9" x14ac:dyDescent="0.3">
      <c r="A28" s="228" t="s">
        <v>38</v>
      </c>
      <c r="B28" s="308" t="s">
        <v>423</v>
      </c>
      <c r="C28" s="309"/>
      <c r="D28" s="309"/>
      <c r="E28" s="309"/>
      <c r="F28" s="309"/>
      <c r="G28" s="309"/>
      <c r="H28" s="310"/>
      <c r="I28" s="242">
        <v>0.03</v>
      </c>
    </row>
    <row r="29" spans="1:9" x14ac:dyDescent="0.3">
      <c r="A29" s="228" t="s">
        <v>38</v>
      </c>
      <c r="B29" s="308" t="s">
        <v>436</v>
      </c>
      <c r="C29" s="309"/>
      <c r="D29" s="309"/>
      <c r="E29" s="309"/>
      <c r="F29" s="309"/>
      <c r="G29" s="309"/>
      <c r="H29" s="310"/>
      <c r="I29" s="267">
        <v>2</v>
      </c>
    </row>
    <row r="30" spans="1:9" ht="14.25" customHeight="1" x14ac:dyDescent="0.3">
      <c r="A30" s="228" t="s">
        <v>40</v>
      </c>
      <c r="B30" s="308" t="s">
        <v>96</v>
      </c>
      <c r="C30" s="309"/>
      <c r="D30" s="309"/>
      <c r="E30" s="309"/>
      <c r="F30" s="309"/>
      <c r="G30" s="309"/>
      <c r="H30" s="310"/>
      <c r="I30" s="243">
        <v>1.4999999999999999E-2</v>
      </c>
    </row>
    <row r="31" spans="1:9" ht="14.25" customHeight="1" x14ac:dyDescent="0.3">
      <c r="A31" s="228" t="s">
        <v>73</v>
      </c>
      <c r="B31" s="308" t="s">
        <v>97</v>
      </c>
      <c r="C31" s="309"/>
      <c r="D31" s="309"/>
      <c r="E31" s="309"/>
      <c r="F31" s="309"/>
      <c r="G31" s="309"/>
      <c r="H31" s="310"/>
      <c r="I31" s="243">
        <v>0.01</v>
      </c>
    </row>
    <row r="32" spans="1:9" ht="14.25" customHeight="1" x14ac:dyDescent="0.3">
      <c r="A32" s="228" t="s">
        <v>76</v>
      </c>
      <c r="B32" s="308" t="s">
        <v>98</v>
      </c>
      <c r="C32" s="309"/>
      <c r="D32" s="309"/>
      <c r="E32" s="309"/>
      <c r="F32" s="309"/>
      <c r="G32" s="309"/>
      <c r="H32" s="310"/>
      <c r="I32" s="243">
        <v>6.0000000000000001E-3</v>
      </c>
    </row>
    <row r="33" spans="1:12" ht="14.25" customHeight="1" x14ac:dyDescent="0.3">
      <c r="A33" s="228" t="s">
        <v>99</v>
      </c>
      <c r="B33" s="308" t="s">
        <v>100</v>
      </c>
      <c r="C33" s="309"/>
      <c r="D33" s="309"/>
      <c r="E33" s="309"/>
      <c r="F33" s="309"/>
      <c r="G33" s="309"/>
      <c r="H33" s="310"/>
      <c r="I33" s="243">
        <v>2E-3</v>
      </c>
    </row>
    <row r="34" spans="1:12" x14ac:dyDescent="0.3">
      <c r="A34" s="345"/>
      <c r="B34" s="345"/>
      <c r="C34" s="345"/>
      <c r="D34" s="345"/>
      <c r="E34" s="345"/>
      <c r="F34" s="345"/>
      <c r="G34" s="345"/>
      <c r="H34" s="345"/>
      <c r="I34" s="345"/>
    </row>
    <row r="35" spans="1:12" x14ac:dyDescent="0.3">
      <c r="A35" s="343" t="s">
        <v>424</v>
      </c>
      <c r="B35" s="343"/>
      <c r="C35" s="343"/>
      <c r="D35" s="343"/>
      <c r="E35" s="343"/>
      <c r="F35" s="343"/>
      <c r="G35" s="343"/>
      <c r="H35" s="343"/>
      <c r="I35" s="343"/>
    </row>
    <row r="36" spans="1:12" ht="15.75" customHeight="1" x14ac:dyDescent="0.3">
      <c r="A36" s="233" t="s">
        <v>104</v>
      </c>
      <c r="B36" s="356" t="s">
        <v>105</v>
      </c>
      <c r="C36" s="356"/>
      <c r="D36" s="356"/>
      <c r="E36" s="356"/>
      <c r="F36" s="356"/>
      <c r="G36" s="356"/>
      <c r="H36" s="233" t="s">
        <v>84</v>
      </c>
      <c r="I36" s="235" t="s">
        <v>85</v>
      </c>
    </row>
    <row r="37" spans="1:12" ht="14.25" customHeight="1" x14ac:dyDescent="0.3">
      <c r="A37" s="229" t="s">
        <v>137</v>
      </c>
      <c r="B37" s="344" t="s">
        <v>434</v>
      </c>
      <c r="C37" s="344"/>
      <c r="D37" s="344"/>
      <c r="E37" s="344"/>
      <c r="F37" s="344"/>
      <c r="G37" s="344"/>
      <c r="H37" s="230"/>
      <c r="I37" s="244">
        <v>4</v>
      </c>
      <c r="K37" s="236"/>
      <c r="L37" s="237"/>
    </row>
    <row r="38" spans="1:12" ht="14.25" customHeight="1" x14ac:dyDescent="0.3">
      <c r="A38" s="229" t="s">
        <v>137</v>
      </c>
      <c r="B38" s="344" t="s">
        <v>458</v>
      </c>
      <c r="C38" s="344"/>
      <c r="D38" s="344"/>
      <c r="E38" s="344"/>
      <c r="F38" s="344"/>
      <c r="G38" s="344"/>
      <c r="H38" s="230"/>
      <c r="I38" s="244">
        <v>0</v>
      </c>
      <c r="K38" s="236"/>
      <c r="L38" s="237"/>
    </row>
    <row r="39" spans="1:12" ht="14.25" customHeight="1" x14ac:dyDescent="0.3">
      <c r="A39" s="229" t="s">
        <v>137</v>
      </c>
      <c r="B39" s="344" t="s">
        <v>459</v>
      </c>
      <c r="C39" s="344"/>
      <c r="D39" s="344"/>
      <c r="E39" s="344"/>
      <c r="F39" s="344"/>
      <c r="G39" s="344"/>
      <c r="H39" s="230"/>
      <c r="I39" s="244">
        <v>0</v>
      </c>
      <c r="K39" s="236"/>
      <c r="L39" s="237"/>
    </row>
    <row r="40" spans="1:12" ht="29" customHeight="1" x14ac:dyDescent="0.3">
      <c r="A40" s="229" t="s">
        <v>36</v>
      </c>
      <c r="B40" s="344" t="s">
        <v>444</v>
      </c>
      <c r="C40" s="344"/>
      <c r="D40" s="344"/>
      <c r="E40" s="344"/>
      <c r="F40" s="344"/>
      <c r="G40" s="344"/>
      <c r="H40" s="230"/>
      <c r="I40" s="244">
        <v>28.390899999999998</v>
      </c>
    </row>
    <row r="41" spans="1:12" ht="14" customHeight="1" x14ac:dyDescent="0.3">
      <c r="A41" s="229" t="s">
        <v>440</v>
      </c>
      <c r="B41" s="342" t="s">
        <v>425</v>
      </c>
      <c r="C41" s="342"/>
      <c r="D41" s="342"/>
      <c r="E41" s="342"/>
      <c r="F41" s="342"/>
      <c r="G41" s="342"/>
      <c r="H41" s="272"/>
      <c r="I41" s="244"/>
    </row>
    <row r="42" spans="1:12" ht="14" customHeight="1" x14ac:dyDescent="0.3">
      <c r="A42" s="229" t="s">
        <v>38</v>
      </c>
      <c r="B42" s="339" t="s">
        <v>230</v>
      </c>
      <c r="C42" s="340"/>
      <c r="D42" s="340"/>
      <c r="E42" s="340"/>
      <c r="F42" s="340"/>
      <c r="G42" s="341"/>
      <c r="H42" s="273"/>
      <c r="I42" s="245"/>
    </row>
    <row r="43" spans="1:12" ht="14" customHeight="1" x14ac:dyDescent="0.3">
      <c r="A43" s="229" t="s">
        <v>40</v>
      </c>
      <c r="B43" s="349" t="s">
        <v>115</v>
      </c>
      <c r="C43" s="350"/>
      <c r="D43" s="350"/>
      <c r="E43" s="350"/>
      <c r="F43" s="350"/>
      <c r="G43" s="351"/>
      <c r="H43" s="273"/>
      <c r="I43" s="244">
        <v>44.03</v>
      </c>
    </row>
    <row r="44" spans="1:12" ht="14" customHeight="1" x14ac:dyDescent="0.3">
      <c r="A44" s="229" t="s">
        <v>73</v>
      </c>
      <c r="B44" s="346" t="s">
        <v>378</v>
      </c>
      <c r="C44" s="347"/>
      <c r="D44" s="347"/>
      <c r="E44" s="347"/>
      <c r="F44" s="347"/>
      <c r="G44" s="348"/>
      <c r="H44" s="273"/>
      <c r="I44" s="244">
        <v>0</v>
      </c>
    </row>
    <row r="45" spans="1:12" ht="14" customHeight="1" x14ac:dyDescent="0.3">
      <c r="A45" s="229" t="s">
        <v>76</v>
      </c>
      <c r="B45" s="346" t="s">
        <v>379</v>
      </c>
      <c r="C45" s="347"/>
      <c r="D45" s="347"/>
      <c r="E45" s="347"/>
      <c r="F45" s="347"/>
      <c r="G45" s="348"/>
      <c r="H45" s="273"/>
      <c r="I45" s="244">
        <v>0</v>
      </c>
    </row>
    <row r="46" spans="1:12" x14ac:dyDescent="0.3">
      <c r="A46" s="353"/>
      <c r="B46" s="354"/>
      <c r="C46" s="354"/>
      <c r="D46" s="354"/>
      <c r="E46" s="354"/>
      <c r="F46" s="354"/>
      <c r="G46" s="354"/>
      <c r="H46" s="354"/>
      <c r="I46" s="355"/>
    </row>
    <row r="47" spans="1:12" ht="17.25" customHeight="1" x14ac:dyDescent="0.3">
      <c r="A47" s="335" t="s">
        <v>128</v>
      </c>
      <c r="B47" s="335"/>
      <c r="C47" s="335"/>
      <c r="D47" s="335"/>
      <c r="E47" s="335"/>
      <c r="F47" s="335"/>
      <c r="G47" s="335"/>
      <c r="H47" s="335"/>
      <c r="I47" s="335"/>
    </row>
    <row r="48" spans="1:12" x14ac:dyDescent="0.3">
      <c r="A48" s="231" t="s">
        <v>134</v>
      </c>
      <c r="B48" s="336" t="s">
        <v>135</v>
      </c>
      <c r="C48" s="337"/>
      <c r="D48" s="337"/>
      <c r="E48" s="337"/>
      <c r="F48" s="337"/>
      <c r="G48" s="337"/>
      <c r="H48" s="338"/>
      <c r="I48" s="238" t="s">
        <v>84</v>
      </c>
    </row>
    <row r="49" spans="1:10" ht="15" customHeight="1" x14ac:dyDescent="0.3">
      <c r="A49" s="228" t="s">
        <v>36</v>
      </c>
      <c r="B49" s="311" t="s">
        <v>139</v>
      </c>
      <c r="C49" s="311"/>
      <c r="D49" s="311"/>
      <c r="E49" s="311"/>
      <c r="F49" s="311"/>
      <c r="G49" s="311"/>
      <c r="H49" s="311"/>
      <c r="I49" s="246">
        <v>1.6299999999999999E-2</v>
      </c>
      <c r="J49" s="239"/>
    </row>
    <row r="50" spans="1:10" ht="15" customHeight="1" x14ac:dyDescent="0.3">
      <c r="A50" s="228" t="s">
        <v>38</v>
      </c>
      <c r="B50" s="311" t="s">
        <v>140</v>
      </c>
      <c r="C50" s="311"/>
      <c r="D50" s="311"/>
      <c r="E50" s="311"/>
      <c r="F50" s="311"/>
      <c r="G50" s="311"/>
      <c r="H50" s="311"/>
      <c r="I50" s="246">
        <v>2.3000000000000001E-4</v>
      </c>
      <c r="J50" s="240"/>
    </row>
    <row r="51" spans="1:10" ht="15" customHeight="1" x14ac:dyDescent="0.3">
      <c r="A51" s="228" t="s">
        <v>40</v>
      </c>
      <c r="B51" s="311" t="s">
        <v>141</v>
      </c>
      <c r="C51" s="311"/>
      <c r="D51" s="311"/>
      <c r="E51" s="311"/>
      <c r="F51" s="311"/>
      <c r="G51" s="311"/>
      <c r="H51" s="311"/>
      <c r="I51" s="246">
        <v>3.3E-3</v>
      </c>
      <c r="J51" s="240"/>
    </row>
    <row r="52" spans="1:10" ht="15" customHeight="1" x14ac:dyDescent="0.3">
      <c r="A52" s="228" t="s">
        <v>73</v>
      </c>
      <c r="B52" s="311" t="s">
        <v>142</v>
      </c>
      <c r="C52" s="311"/>
      <c r="D52" s="311"/>
      <c r="E52" s="311"/>
      <c r="F52" s="311"/>
      <c r="G52" s="311"/>
      <c r="H52" s="311"/>
      <c r="I52" s="247">
        <v>5.5000000000000003E-4</v>
      </c>
      <c r="J52" s="240"/>
    </row>
    <row r="53" spans="1:10" ht="15" customHeight="1" x14ac:dyDescent="0.3">
      <c r="A53" s="228" t="s">
        <v>76</v>
      </c>
      <c r="B53" s="311" t="s">
        <v>143</v>
      </c>
      <c r="C53" s="311"/>
      <c r="D53" s="311"/>
      <c r="E53" s="311"/>
      <c r="F53" s="311"/>
      <c r="G53" s="311"/>
      <c r="H53" s="311"/>
      <c r="I53" s="248">
        <v>1.3899999999999999E-2</v>
      </c>
      <c r="J53" s="240"/>
    </row>
    <row r="54" spans="1:10" x14ac:dyDescent="0.3">
      <c r="A54" s="352"/>
      <c r="B54" s="352"/>
      <c r="C54" s="352"/>
      <c r="D54" s="352"/>
      <c r="E54" s="352"/>
      <c r="F54" s="352"/>
      <c r="G54" s="352"/>
      <c r="H54" s="352"/>
      <c r="I54" s="352"/>
    </row>
    <row r="55" spans="1:10" x14ac:dyDescent="0.3">
      <c r="A55" s="343" t="s">
        <v>156</v>
      </c>
      <c r="B55" s="343"/>
      <c r="C55" s="343"/>
      <c r="D55" s="343"/>
      <c r="E55" s="343"/>
      <c r="F55" s="343"/>
      <c r="G55" s="343"/>
      <c r="H55" s="343"/>
      <c r="I55" s="343"/>
    </row>
    <row r="56" spans="1:10" x14ac:dyDescent="0.3">
      <c r="A56" s="238">
        <v>6</v>
      </c>
      <c r="B56" s="336" t="s">
        <v>157</v>
      </c>
      <c r="C56" s="337"/>
      <c r="D56" s="337"/>
      <c r="E56" s="337"/>
      <c r="F56" s="337"/>
      <c r="G56" s="337"/>
      <c r="H56" s="338"/>
      <c r="I56" s="241" t="s">
        <v>84</v>
      </c>
    </row>
    <row r="57" spans="1:10" x14ac:dyDescent="0.3">
      <c r="A57" s="228" t="s">
        <v>34</v>
      </c>
      <c r="B57" s="311" t="s">
        <v>159</v>
      </c>
      <c r="C57" s="311"/>
      <c r="D57" s="311"/>
      <c r="E57" s="311"/>
      <c r="F57" s="311"/>
      <c r="G57" s="311"/>
      <c r="H57" s="311"/>
      <c r="I57" s="249">
        <v>0.05</v>
      </c>
    </row>
    <row r="58" spans="1:10" x14ac:dyDescent="0.3">
      <c r="A58" s="228" t="s">
        <v>36</v>
      </c>
      <c r="B58" s="305" t="s">
        <v>161</v>
      </c>
      <c r="C58" s="305"/>
      <c r="D58" s="305"/>
      <c r="E58" s="305"/>
      <c r="F58" s="305"/>
      <c r="G58" s="305"/>
      <c r="H58" s="305"/>
      <c r="I58" s="249">
        <v>0.1</v>
      </c>
    </row>
    <row r="59" spans="1:10" x14ac:dyDescent="0.3">
      <c r="A59" s="228" t="s">
        <v>441</v>
      </c>
      <c r="B59" s="311" t="s">
        <v>433</v>
      </c>
      <c r="C59" s="311"/>
      <c r="D59" s="311"/>
      <c r="E59" s="311"/>
      <c r="F59" s="311"/>
      <c r="G59" s="311"/>
      <c r="H59" s="311"/>
      <c r="I59" s="249">
        <v>0.03</v>
      </c>
    </row>
    <row r="60" spans="1:10" x14ac:dyDescent="0.3">
      <c r="A60" s="228" t="s">
        <v>442</v>
      </c>
      <c r="B60" s="311" t="s">
        <v>427</v>
      </c>
      <c r="C60" s="311"/>
      <c r="D60" s="311"/>
      <c r="E60" s="311"/>
      <c r="F60" s="311"/>
      <c r="G60" s="311"/>
      <c r="H60" s="311"/>
      <c r="I60" s="249">
        <v>6.4999999999999997E-3</v>
      </c>
    </row>
    <row r="61" spans="1:10" x14ac:dyDescent="0.3">
      <c r="A61" s="228" t="s">
        <v>443</v>
      </c>
      <c r="B61" s="311" t="s">
        <v>438</v>
      </c>
      <c r="C61" s="311"/>
      <c r="D61" s="311"/>
      <c r="E61" s="311"/>
      <c r="F61" s="311"/>
      <c r="G61" s="311"/>
      <c r="H61" s="311"/>
      <c r="I61" s="249">
        <v>0.05</v>
      </c>
    </row>
    <row r="62" spans="1:10" x14ac:dyDescent="0.3">
      <c r="A62" s="228" t="s">
        <v>443</v>
      </c>
      <c r="B62" s="311" t="s">
        <v>429</v>
      </c>
      <c r="C62" s="311"/>
      <c r="D62" s="311"/>
      <c r="E62" s="311"/>
      <c r="F62" s="311"/>
      <c r="G62" s="311"/>
      <c r="H62" s="311"/>
      <c r="I62" s="249">
        <v>0.05</v>
      </c>
    </row>
    <row r="63" spans="1:10" x14ac:dyDescent="0.3">
      <c r="A63" s="228" t="s">
        <v>443</v>
      </c>
      <c r="B63" s="311" t="s">
        <v>428</v>
      </c>
      <c r="C63" s="311"/>
      <c r="D63" s="311"/>
      <c r="E63" s="311"/>
      <c r="F63" s="311"/>
      <c r="G63" s="311"/>
      <c r="H63" s="311"/>
      <c r="I63" s="249">
        <v>0.05</v>
      </c>
    </row>
  </sheetData>
  <sheetProtection algorithmName="SHA-512" hashValue="/zhz6O0dgC/VLQZ0dnCjUVtbYT6xmIRy6kbwiYVUYtJSlZ09LJrPIY/pisCX8EYHMZ0t6JBPlbSsIG+I2s3q1A==" saltValue="VWpA+wgLP9Wycgm4h9Zq9g==" spinCount="100000" sheet="1" objects="1" scenarios="1"/>
  <protectedRanges>
    <protectedRange sqref="E6 E9:G10 E14 I20:I21 H22 I26:I33 I37:I38 I39 I45 H41:H45 I49:I53 I57:I63" name="diurno 44h drf tsa"/>
  </protectedRanges>
  <mergeCells count="75">
    <mergeCell ref="B29:H29"/>
    <mergeCell ref="B33:H33"/>
    <mergeCell ref="B40:G40"/>
    <mergeCell ref="A13:D13"/>
    <mergeCell ref="A14:D14"/>
    <mergeCell ref="A23:I23"/>
    <mergeCell ref="A24:I24"/>
    <mergeCell ref="A15:D15"/>
    <mergeCell ref="A18:I18"/>
    <mergeCell ref="B19:G19"/>
    <mergeCell ref="B22:G22"/>
    <mergeCell ref="B38:G38"/>
    <mergeCell ref="B39:G39"/>
    <mergeCell ref="A55:I55"/>
    <mergeCell ref="B56:H56"/>
    <mergeCell ref="B37:G37"/>
    <mergeCell ref="A34:I34"/>
    <mergeCell ref="A35:I35"/>
    <mergeCell ref="B44:G44"/>
    <mergeCell ref="B45:G45"/>
    <mergeCell ref="B43:G43"/>
    <mergeCell ref="A54:I54"/>
    <mergeCell ref="B53:H53"/>
    <mergeCell ref="B50:H50"/>
    <mergeCell ref="B51:H51"/>
    <mergeCell ref="B52:H52"/>
    <mergeCell ref="B49:H49"/>
    <mergeCell ref="A46:I46"/>
    <mergeCell ref="B36:G36"/>
    <mergeCell ref="B63:H63"/>
    <mergeCell ref="B62:H62"/>
    <mergeCell ref="B61:H61"/>
    <mergeCell ref="B59:H59"/>
    <mergeCell ref="B57:H57"/>
    <mergeCell ref="B58:H58"/>
    <mergeCell ref="B60:H60"/>
    <mergeCell ref="A47:I47"/>
    <mergeCell ref="B48:H48"/>
    <mergeCell ref="B42:G42"/>
    <mergeCell ref="B30:H30"/>
    <mergeCell ref="B31:H31"/>
    <mergeCell ref="B41:G41"/>
    <mergeCell ref="B32:H32"/>
    <mergeCell ref="A2:I2"/>
    <mergeCell ref="A4:D4"/>
    <mergeCell ref="E4:G4"/>
    <mergeCell ref="E5:G5"/>
    <mergeCell ref="A11:D11"/>
    <mergeCell ref="E11:G11"/>
    <mergeCell ref="E8:G8"/>
    <mergeCell ref="A8:D8"/>
    <mergeCell ref="A3:B3"/>
    <mergeCell ref="C3:I3"/>
    <mergeCell ref="E10:G10"/>
    <mergeCell ref="E9:G9"/>
    <mergeCell ref="E7:G7"/>
    <mergeCell ref="A7:D7"/>
    <mergeCell ref="A6:D6"/>
    <mergeCell ref="A5:D5"/>
    <mergeCell ref="E6:G6"/>
    <mergeCell ref="A9:D9"/>
    <mergeCell ref="E14:G14"/>
    <mergeCell ref="E13:G13"/>
    <mergeCell ref="B28:H28"/>
    <mergeCell ref="B20:G20"/>
    <mergeCell ref="B21:G21"/>
    <mergeCell ref="A16:D16"/>
    <mergeCell ref="E16:G16"/>
    <mergeCell ref="E15:G15"/>
    <mergeCell ref="B27:H27"/>
    <mergeCell ref="B26:H26"/>
    <mergeCell ref="A12:C12"/>
    <mergeCell ref="D12:E12"/>
    <mergeCell ref="A10:D10"/>
    <mergeCell ref="B25:H25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E8F88-4115-43B3-879A-AB6BB424CC89}">
  <dimension ref="A1:IW195"/>
  <sheetViews>
    <sheetView showGridLines="0" view="pageBreakPreview" topLeftCell="A77" zoomScaleNormal="130" zoomScaleSheetLayoutView="100" workbookViewId="0">
      <selection activeCell="H83" sqref="H83"/>
    </sheetView>
  </sheetViews>
  <sheetFormatPr defaultColWidth="10.5" defaultRowHeight="14" x14ac:dyDescent="0.3"/>
  <cols>
    <col min="1" max="1" width="8.75" customWidth="1"/>
    <col min="2" max="2" width="9.08203125" customWidth="1"/>
    <col min="3" max="3" width="8" customWidth="1"/>
    <col min="4" max="4" width="12.08203125" customWidth="1"/>
    <col min="5" max="6" width="8" customWidth="1"/>
    <col min="7" max="7" width="13.58203125" customWidth="1"/>
    <col min="8" max="8" width="11.9140625" customWidth="1"/>
    <col min="9" max="9" width="10.83203125" customWidth="1"/>
    <col min="10" max="10" width="9.83203125" customWidth="1"/>
    <col min="11" max="257" width="8" customWidth="1"/>
  </cols>
  <sheetData>
    <row r="1" spans="1:257" ht="70.5" customHeight="1" x14ac:dyDescent="0.3">
      <c r="A1" s="364" t="s">
        <v>30</v>
      </c>
      <c r="B1" s="364"/>
      <c r="C1" s="364"/>
      <c r="D1" s="364"/>
      <c r="E1" s="364"/>
      <c r="F1" s="364"/>
      <c r="G1" s="364"/>
      <c r="H1" s="364"/>
      <c r="I1" s="36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spans="1:257" ht="14.25" customHeight="1" x14ac:dyDescent="0.3">
      <c r="A2" s="359" t="s">
        <v>31</v>
      </c>
      <c r="B2" s="359"/>
      <c r="C2" s="359"/>
      <c r="D2" s="359"/>
      <c r="E2" s="359"/>
      <c r="F2" s="362" t="str">
        <f>'Inserir dados na planilha'!E4</f>
        <v>13075.141464/2025-18</v>
      </c>
      <c r="G2" s="363"/>
      <c r="H2" s="363"/>
      <c r="I2" s="36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</row>
    <row r="3" spans="1:257" ht="17.25" customHeight="1" x14ac:dyDescent="0.3">
      <c r="A3" s="359" t="s">
        <v>32</v>
      </c>
      <c r="B3" s="359"/>
      <c r="C3" s="359"/>
      <c r="D3" s="359"/>
      <c r="E3" s="359"/>
      <c r="F3" s="362" t="str">
        <f>'Inserir dados na planilha'!E5</f>
        <v>170040/90001/2026</v>
      </c>
      <c r="G3" s="363"/>
      <c r="H3" s="363"/>
      <c r="I3" s="36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</row>
    <row r="4" spans="1:257" ht="16.5" customHeight="1" x14ac:dyDescent="0.3">
      <c r="A4" s="365" t="s">
        <v>456</v>
      </c>
      <c r="B4" s="366"/>
      <c r="C4" s="366"/>
      <c r="D4" s="366"/>
      <c r="E4" s="367"/>
      <c r="F4" s="368" t="str">
        <f>'Inserir dados na planilha'!E6</f>
        <v>*****</v>
      </c>
      <c r="G4" s="369"/>
      <c r="H4" s="369"/>
      <c r="I4" s="370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</row>
    <row r="5" spans="1:257" ht="18.75" customHeight="1" x14ac:dyDescent="0.3">
      <c r="A5" s="358" t="s">
        <v>33</v>
      </c>
      <c r="B5" s="358"/>
      <c r="C5" s="358"/>
      <c r="D5" s="358"/>
      <c r="E5" s="358"/>
      <c r="F5" s="358"/>
      <c r="G5" s="358"/>
      <c r="H5" s="358"/>
      <c r="I5" s="35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spans="1:257" ht="14.25" customHeight="1" x14ac:dyDescent="0.3">
      <c r="A6" s="3" t="s">
        <v>34</v>
      </c>
      <c r="B6" s="359" t="s">
        <v>35</v>
      </c>
      <c r="C6" s="359"/>
      <c r="D6" s="359"/>
      <c r="E6" s="359"/>
      <c r="F6" s="359"/>
      <c r="G6" s="359"/>
      <c r="H6" s="360" t="str">
        <f>'Inserir dados na planilha'!E11</f>
        <v>****</v>
      </c>
      <c r="I6" s="36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spans="1:257" ht="14.25" customHeight="1" x14ac:dyDescent="0.3">
      <c r="A7" s="3" t="s">
        <v>36</v>
      </c>
      <c r="B7" s="359" t="s">
        <v>37</v>
      </c>
      <c r="C7" s="359"/>
      <c r="D7" s="359"/>
      <c r="E7" s="359"/>
      <c r="F7" s="359"/>
      <c r="G7" s="359"/>
      <c r="H7" s="361" t="s">
        <v>375</v>
      </c>
      <c r="I7" s="36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</row>
    <row r="8" spans="1:257" x14ac:dyDescent="0.3">
      <c r="A8" s="3" t="s">
        <v>38</v>
      </c>
      <c r="B8" s="359" t="s">
        <v>39</v>
      </c>
      <c r="C8" s="359"/>
      <c r="D8" s="359"/>
      <c r="E8" s="359"/>
      <c r="F8" s="359"/>
      <c r="G8" s="359"/>
      <c r="H8" s="362" t="str">
        <f>'Inserir dados na planilha'!E9</f>
        <v>PI000015/2025</v>
      </c>
      <c r="I8" s="36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</row>
    <row r="9" spans="1:257" ht="14.25" customHeight="1" x14ac:dyDescent="0.3">
      <c r="A9" s="3" t="s">
        <v>40</v>
      </c>
      <c r="B9" s="359" t="s">
        <v>41</v>
      </c>
      <c r="C9" s="359"/>
      <c r="D9" s="359"/>
      <c r="E9" s="359"/>
      <c r="F9" s="359"/>
      <c r="G9" s="359"/>
      <c r="H9" s="377">
        <f>'Inserir dados na planilha'!E15</f>
        <v>24</v>
      </c>
      <c r="I9" s="363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</row>
    <row r="10" spans="1:257" ht="14.25" customHeight="1" x14ac:dyDescent="0.3">
      <c r="A10" s="372" t="s">
        <v>42</v>
      </c>
      <c r="B10" s="372"/>
      <c r="C10" s="372"/>
      <c r="D10" s="372"/>
      <c r="E10" s="372"/>
      <c r="F10" s="372"/>
      <c r="G10" s="372"/>
      <c r="H10" s="372"/>
      <c r="I10" s="37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</row>
    <row r="11" spans="1:257" ht="39" customHeight="1" x14ac:dyDescent="0.3">
      <c r="A11" s="378" t="s">
        <v>43</v>
      </c>
      <c r="B11" s="378"/>
      <c r="C11" s="378"/>
      <c r="D11" s="378"/>
      <c r="E11" s="378"/>
      <c r="F11" s="378" t="s">
        <v>44</v>
      </c>
      <c r="G11" s="378"/>
      <c r="H11" s="378" t="s">
        <v>45</v>
      </c>
      <c r="I11" s="37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</row>
    <row r="12" spans="1:257" ht="14.25" customHeight="1" x14ac:dyDescent="0.3">
      <c r="A12" s="371" t="str">
        <f>'Inserir dados na planilha'!E13</f>
        <v>Vigilância e segurança armada</v>
      </c>
      <c r="B12" s="372"/>
      <c r="C12" s="372"/>
      <c r="D12" s="372"/>
      <c r="E12" s="372"/>
      <c r="F12" s="373" t="str">
        <f>'Inserir dados na planilha'!E16</f>
        <v>Posto de Serviço</v>
      </c>
      <c r="G12" s="372"/>
      <c r="H12" s="374">
        <v>1</v>
      </c>
      <c r="I12" s="374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</row>
    <row r="13" spans="1:257" ht="14.25" customHeight="1" x14ac:dyDescent="0.3">
      <c r="A13" s="375"/>
      <c r="B13" s="375"/>
      <c r="C13" s="375"/>
      <c r="D13" s="375"/>
      <c r="E13" s="375"/>
      <c r="F13" s="375"/>
      <c r="G13" s="375"/>
      <c r="H13" s="375"/>
      <c r="I13" s="37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</row>
    <row r="14" spans="1:257" x14ac:dyDescent="0.3">
      <c r="A14" s="376"/>
      <c r="B14" s="376"/>
      <c r="C14" s="376"/>
      <c r="D14" s="376"/>
      <c r="E14" s="376"/>
      <c r="F14" s="376"/>
      <c r="G14" s="376"/>
      <c r="H14" s="376"/>
      <c r="I14" s="37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 x14ac:dyDescent="0.3">
      <c r="A15" s="375"/>
      <c r="B15" s="375"/>
      <c r="C15" s="375"/>
      <c r="D15" s="375"/>
      <c r="E15" s="375"/>
      <c r="F15" s="375"/>
      <c r="G15" s="375"/>
      <c r="H15" s="375"/>
      <c r="I15" s="375"/>
      <c r="J15" s="5"/>
      <c r="K15" s="6"/>
      <c r="L15" s="7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6" spans="1:257" ht="48.75" customHeight="1" x14ac:dyDescent="0.3">
      <c r="A16" s="380" t="s">
        <v>46</v>
      </c>
      <c r="B16" s="380"/>
      <c r="C16" s="380"/>
      <c r="D16" s="380"/>
      <c r="E16" s="380"/>
      <c r="F16" s="380"/>
      <c r="G16" s="380"/>
      <c r="H16" s="380"/>
      <c r="I16" s="380"/>
      <c r="J16" s="5"/>
      <c r="K16" s="6"/>
      <c r="L16" s="7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spans="1:257" ht="14.25" customHeight="1" x14ac:dyDescent="0.3">
      <c r="A17" s="375"/>
      <c r="B17" s="375"/>
      <c r="C17" s="375"/>
      <c r="D17" s="375"/>
      <c r="E17" s="375"/>
      <c r="F17" s="375"/>
      <c r="G17" s="375"/>
      <c r="H17" s="375"/>
      <c r="I17" s="375"/>
      <c r="J17" s="5"/>
      <c r="K17" s="6"/>
      <c r="L17" s="7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1:257" ht="14.25" customHeight="1" x14ac:dyDescent="0.3">
      <c r="A18" s="358" t="s">
        <v>47</v>
      </c>
      <c r="B18" s="358"/>
      <c r="C18" s="358"/>
      <c r="D18" s="358"/>
      <c r="E18" s="358"/>
      <c r="F18" s="358"/>
      <c r="G18" s="358"/>
      <c r="H18" s="358"/>
      <c r="I18" s="358"/>
      <c r="J18" s="5"/>
      <c r="K18" s="6"/>
      <c r="L18" s="7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spans="1:257" ht="24" customHeight="1" x14ac:dyDescent="0.3">
      <c r="A19" s="3">
        <v>1</v>
      </c>
      <c r="B19" s="359" t="s">
        <v>48</v>
      </c>
      <c r="C19" s="359"/>
      <c r="D19" s="359"/>
      <c r="E19" s="359"/>
      <c r="F19" s="359"/>
      <c r="G19" s="359"/>
      <c r="H19" s="381" t="str">
        <f>A12</f>
        <v>Vigilância e segurança armada</v>
      </c>
      <c r="I19" s="381"/>
      <c r="J19" s="5"/>
      <c r="K19" s="6"/>
      <c r="L19" s="7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spans="1:257" ht="18.75" customHeight="1" x14ac:dyDescent="0.3">
      <c r="A20" s="3">
        <v>2</v>
      </c>
      <c r="B20" s="359" t="s">
        <v>49</v>
      </c>
      <c r="C20" s="359"/>
      <c r="D20" s="359"/>
      <c r="E20" s="359"/>
      <c r="F20" s="359"/>
      <c r="G20" s="359"/>
      <c r="H20" s="382" t="str">
        <f>'Inserir dados na planilha'!G12</f>
        <v>5173-30</v>
      </c>
      <c r="I20" s="382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379"/>
      <c r="AU20" s="379"/>
      <c r="AV20" s="379"/>
      <c r="AW20" s="379"/>
      <c r="AX20" s="379"/>
      <c r="AY20" s="379"/>
      <c r="AZ20" s="379"/>
      <c r="BA20" s="379"/>
      <c r="BB20" s="379"/>
      <c r="BC20" s="379"/>
      <c r="BD20" s="379"/>
      <c r="BE20" s="379"/>
      <c r="BF20" s="379"/>
      <c r="BG20" s="379"/>
      <c r="BH20" s="379"/>
      <c r="BI20" s="379"/>
      <c r="BJ20" s="379"/>
      <c r="BK20" s="379"/>
      <c r="BL20" s="379"/>
      <c r="BM20" s="379"/>
      <c r="BN20" s="379"/>
      <c r="BO20" s="379"/>
      <c r="BP20" s="379"/>
      <c r="BQ20" s="379"/>
      <c r="BR20" s="379"/>
      <c r="BS20" s="379"/>
      <c r="BT20" s="379"/>
      <c r="BU20" s="379"/>
      <c r="BV20" s="379"/>
      <c r="BW20" s="379"/>
      <c r="BX20" s="379"/>
      <c r="BY20" s="379"/>
      <c r="BZ20" s="379"/>
      <c r="CA20" s="379"/>
      <c r="CB20" s="379"/>
      <c r="CC20" s="379"/>
      <c r="CD20" s="379"/>
      <c r="CE20" s="379"/>
      <c r="CF20" s="379"/>
      <c r="CG20" s="379"/>
      <c r="CH20" s="379"/>
      <c r="CI20" s="379"/>
      <c r="CJ20" s="379"/>
      <c r="CK20" s="379"/>
      <c r="CL20" s="379"/>
      <c r="CM20" s="379"/>
      <c r="CN20" s="379"/>
      <c r="CO20" s="379"/>
      <c r="CP20" s="379"/>
      <c r="CQ20" s="379"/>
      <c r="CR20" s="379"/>
      <c r="CS20" s="379"/>
      <c r="CT20" s="379"/>
      <c r="CU20" s="379"/>
      <c r="CV20" s="379"/>
      <c r="CW20" s="379"/>
      <c r="CX20" s="379"/>
      <c r="CY20" s="379"/>
      <c r="CZ20" s="379"/>
      <c r="DA20" s="379"/>
      <c r="DB20" s="379"/>
      <c r="DC20" s="379"/>
      <c r="DD20" s="379"/>
      <c r="DE20" s="379"/>
      <c r="DF20" s="379"/>
      <c r="DG20" s="379"/>
      <c r="DH20" s="379"/>
      <c r="DI20" s="379"/>
      <c r="DJ20" s="379"/>
      <c r="DK20" s="379"/>
      <c r="DL20" s="379"/>
      <c r="DM20" s="379"/>
      <c r="DN20" s="379"/>
      <c r="DO20" s="379"/>
      <c r="DP20" s="379"/>
      <c r="DQ20" s="379"/>
      <c r="DR20" s="379"/>
      <c r="DS20" s="379"/>
      <c r="DT20" s="379"/>
      <c r="DU20" s="379"/>
      <c r="DV20" s="379"/>
      <c r="DW20" s="379"/>
      <c r="DX20" s="379"/>
      <c r="DY20" s="379"/>
      <c r="DZ20" s="379"/>
      <c r="EA20" s="379"/>
      <c r="EB20" s="379"/>
      <c r="EC20" s="379"/>
      <c r="ED20" s="379"/>
      <c r="EE20" s="379"/>
      <c r="EF20" s="379"/>
      <c r="EG20" s="379"/>
      <c r="EH20" s="379"/>
      <c r="EI20" s="379"/>
      <c r="EJ20" s="379"/>
      <c r="EK20" s="379"/>
      <c r="EL20" s="379"/>
      <c r="EM20" s="379"/>
      <c r="EN20" s="379"/>
      <c r="EO20" s="379"/>
      <c r="EP20" s="379"/>
      <c r="EQ20" s="379"/>
      <c r="ER20" s="379"/>
      <c r="ES20" s="379"/>
      <c r="ET20" s="379"/>
      <c r="EU20" s="379"/>
      <c r="EV20" s="379"/>
      <c r="EW20" s="379"/>
      <c r="EX20" s="379"/>
      <c r="EY20" s="379"/>
      <c r="EZ20" s="379"/>
      <c r="FA20" s="379"/>
      <c r="FB20" s="379"/>
      <c r="FC20" s="379"/>
      <c r="FD20" s="379"/>
      <c r="FE20" s="379"/>
      <c r="FF20" s="379"/>
      <c r="FG20" s="379"/>
      <c r="FH20" s="379"/>
      <c r="FI20" s="379"/>
      <c r="FJ20" s="379"/>
      <c r="FK20" s="379"/>
      <c r="FL20" s="379"/>
      <c r="FM20" s="379"/>
      <c r="FN20" s="379"/>
      <c r="FO20" s="379"/>
      <c r="FP20" s="379"/>
      <c r="FQ20" s="379"/>
      <c r="FR20" s="379"/>
      <c r="FS20" s="379"/>
      <c r="FT20" s="379"/>
      <c r="FU20" s="379"/>
      <c r="FV20" s="379"/>
      <c r="FW20" s="379"/>
      <c r="FX20" s="379"/>
      <c r="FY20" s="379"/>
      <c r="FZ20" s="379"/>
      <c r="GA20" s="379"/>
      <c r="GB20" s="379"/>
      <c r="GC20" s="379"/>
      <c r="GD20" s="379"/>
      <c r="GE20" s="379"/>
      <c r="GF20" s="379"/>
      <c r="GG20" s="379"/>
      <c r="GH20" s="379"/>
      <c r="GI20" s="379"/>
      <c r="GJ20" s="379"/>
      <c r="GK20" s="379"/>
      <c r="GL20" s="379"/>
      <c r="GM20" s="379"/>
      <c r="GN20" s="379"/>
      <c r="GO20" s="379"/>
      <c r="GP20" s="379"/>
      <c r="GQ20" s="379"/>
      <c r="GR20" s="379"/>
      <c r="GS20" s="379"/>
      <c r="GT20" s="379"/>
      <c r="GU20" s="379"/>
      <c r="GV20" s="379"/>
      <c r="GW20" s="379"/>
      <c r="GX20" s="379"/>
      <c r="GY20" s="379"/>
      <c r="GZ20" s="379"/>
      <c r="HA20" s="379"/>
      <c r="HB20" s="379"/>
      <c r="HC20" s="379"/>
      <c r="HD20" s="379"/>
      <c r="HE20" s="379"/>
      <c r="HF20" s="379"/>
      <c r="HG20" s="379"/>
      <c r="HH20" s="379"/>
      <c r="HI20" s="379"/>
      <c r="HJ20" s="379"/>
      <c r="HK20" s="379"/>
      <c r="HL20" s="379"/>
      <c r="HM20" s="379"/>
      <c r="HN20" s="379"/>
      <c r="HO20" s="379"/>
      <c r="HP20" s="379"/>
      <c r="HQ20" s="379"/>
      <c r="HR20" s="379"/>
      <c r="HS20" s="379"/>
      <c r="HT20" s="379"/>
      <c r="HU20" s="379"/>
      <c r="HV20" s="379"/>
      <c r="HW20" s="379"/>
      <c r="HX20" s="379"/>
      <c r="HY20" s="379"/>
      <c r="HZ20" s="379"/>
      <c r="IA20" s="379"/>
      <c r="IB20" s="379"/>
      <c r="IC20" s="379"/>
      <c r="ID20" s="379"/>
      <c r="IE20" s="379"/>
      <c r="IF20" s="379"/>
      <c r="IG20" s="379"/>
      <c r="IH20" s="379"/>
      <c r="II20" s="379"/>
      <c r="IJ20" s="379"/>
      <c r="IK20" s="379"/>
      <c r="IL20" s="379"/>
      <c r="IM20" s="379"/>
      <c r="IN20" s="379"/>
      <c r="IO20" s="379"/>
      <c r="IP20" s="379"/>
      <c r="IQ20" s="379"/>
      <c r="IR20" s="379"/>
      <c r="IS20" s="379"/>
      <c r="IT20" s="379"/>
      <c r="IU20" s="379"/>
      <c r="IV20" s="379"/>
      <c r="IW20" s="8"/>
    </row>
    <row r="21" spans="1:257" ht="24" customHeight="1" x14ac:dyDescent="0.3">
      <c r="A21" s="3">
        <v>3</v>
      </c>
      <c r="B21" s="359" t="s">
        <v>50</v>
      </c>
      <c r="C21" s="359"/>
      <c r="D21" s="359"/>
      <c r="E21" s="359"/>
      <c r="F21" s="359"/>
      <c r="G21" s="359"/>
      <c r="H21" s="385">
        <f>'Inserir dados na planilha'!I20</f>
        <v>1757.2</v>
      </c>
      <c r="I21" s="385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</row>
    <row r="22" spans="1:257" ht="25.5" customHeight="1" x14ac:dyDescent="0.3">
      <c r="A22" s="3">
        <v>4</v>
      </c>
      <c r="B22" s="359" t="s">
        <v>51</v>
      </c>
      <c r="C22" s="359"/>
      <c r="D22" s="359"/>
      <c r="E22" s="359"/>
      <c r="F22" s="359"/>
      <c r="G22" s="359"/>
      <c r="H22" s="386" t="str">
        <f>'Inserir dados na planilha'!D12</f>
        <v>Vigilante</v>
      </c>
      <c r="I22" s="386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</row>
    <row r="23" spans="1:257" ht="18" customHeight="1" x14ac:dyDescent="0.3">
      <c r="A23" s="3">
        <v>5</v>
      </c>
      <c r="B23" s="359" t="s">
        <v>52</v>
      </c>
      <c r="C23" s="359"/>
      <c r="D23" s="359"/>
      <c r="E23" s="359"/>
      <c r="F23" s="359"/>
      <c r="G23" s="359"/>
      <c r="H23" s="387">
        <f>'Inserir dados na planilha'!E14</f>
        <v>45658</v>
      </c>
      <c r="I23" s="387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257" ht="18" customHeight="1" x14ac:dyDescent="0.3">
      <c r="A24" s="3">
        <v>6</v>
      </c>
      <c r="B24" s="359" t="s">
        <v>394</v>
      </c>
      <c r="C24" s="359"/>
      <c r="D24" s="359"/>
      <c r="E24" s="359"/>
      <c r="F24" s="359"/>
      <c r="G24" s="9">
        <f>'Inserir dados na planilha'!H22</f>
        <v>0.3</v>
      </c>
      <c r="H24" s="383">
        <f>ROUNDUP(G24*H21,2)</f>
        <v>527.16</v>
      </c>
      <c r="I24" s="383"/>
      <c r="J24" s="18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257" ht="18" customHeight="1" x14ac:dyDescent="0.3">
      <c r="A25" s="3">
        <v>7</v>
      </c>
      <c r="B25" s="359" t="s">
        <v>53</v>
      </c>
      <c r="C25" s="359"/>
      <c r="D25" s="359"/>
      <c r="E25" s="359"/>
      <c r="F25" s="359"/>
      <c r="G25" s="359"/>
      <c r="H25" s="383">
        <f>ROUNDUP(H24+H21,2)</f>
        <v>2284.36</v>
      </c>
      <c r="I25" s="383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spans="1:257" ht="18" customHeight="1" x14ac:dyDescent="0.3">
      <c r="A26" s="3">
        <v>8</v>
      </c>
      <c r="B26" s="359" t="s">
        <v>54</v>
      </c>
      <c r="C26" s="359"/>
      <c r="D26" s="359"/>
      <c r="E26" s="359"/>
      <c r="F26" s="359"/>
      <c r="G26" s="359"/>
      <c r="H26" s="384"/>
      <c r="I26" s="384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spans="1:257" ht="20.9" customHeight="1" x14ac:dyDescent="0.3">
      <c r="A27" s="3">
        <v>9</v>
      </c>
      <c r="B27" s="359" t="s">
        <v>385</v>
      </c>
      <c r="C27" s="359"/>
      <c r="D27" s="359"/>
      <c r="E27" s="359"/>
      <c r="F27" s="359"/>
      <c r="G27" s="359"/>
      <c r="H27" s="384"/>
      <c r="I27" s="38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spans="1:257" ht="18" customHeight="1" x14ac:dyDescent="0.3">
      <c r="A28" s="3">
        <v>10</v>
      </c>
      <c r="B28" s="359" t="s">
        <v>55</v>
      </c>
      <c r="C28" s="359"/>
      <c r="D28" s="359"/>
      <c r="E28" s="359"/>
      <c r="F28" s="359"/>
      <c r="G28" s="359"/>
      <c r="H28" s="384"/>
      <c r="I28" s="384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spans="1:257" ht="18" customHeight="1" x14ac:dyDescent="0.3">
      <c r="A29" s="3">
        <v>11</v>
      </c>
      <c r="B29" s="359" t="s">
        <v>56</v>
      </c>
      <c r="C29" s="359"/>
      <c r="D29" s="359"/>
      <c r="E29" s="359"/>
      <c r="F29" s="359"/>
      <c r="G29" s="359"/>
      <c r="H29" s="384"/>
      <c r="I29" s="38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spans="1:257" ht="18" customHeight="1" x14ac:dyDescent="0.3">
      <c r="A30" s="3">
        <v>12</v>
      </c>
      <c r="B30" s="359" t="s">
        <v>57</v>
      </c>
      <c r="C30" s="359"/>
      <c r="D30" s="359"/>
      <c r="E30" s="359"/>
      <c r="F30" s="359"/>
      <c r="G30" s="359"/>
      <c r="H30" s="384"/>
      <c r="I30" s="384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spans="1:257" ht="18" customHeight="1" x14ac:dyDescent="0.3">
      <c r="A31" s="3">
        <v>13</v>
      </c>
      <c r="B31" s="359" t="s">
        <v>58</v>
      </c>
      <c r="C31" s="359"/>
      <c r="D31" s="359"/>
      <c r="E31" s="359"/>
      <c r="F31" s="359"/>
      <c r="G31" s="359"/>
      <c r="H31" s="384"/>
      <c r="I31" s="384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spans="1:257" ht="18" customHeight="1" x14ac:dyDescent="0.3">
      <c r="A32" s="3">
        <v>14</v>
      </c>
      <c r="B32" s="359" t="s">
        <v>454</v>
      </c>
      <c r="C32" s="359"/>
      <c r="D32" s="359"/>
      <c r="E32" s="359"/>
      <c r="F32" s="359"/>
      <c r="G32" s="359"/>
      <c r="H32" s="384"/>
      <c r="I32" s="384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spans="1:257" ht="18" customHeight="1" x14ac:dyDescent="0.3">
      <c r="A33" s="3">
        <v>15</v>
      </c>
      <c r="B33" s="359" t="s">
        <v>59</v>
      </c>
      <c r="C33" s="359"/>
      <c r="D33" s="359"/>
      <c r="E33" s="359"/>
      <c r="F33" s="359"/>
      <c r="G33" s="359"/>
      <c r="H33" s="384"/>
      <c r="I33" s="384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spans="1:257" ht="18" customHeight="1" x14ac:dyDescent="0.3">
      <c r="A34" s="3">
        <v>16</v>
      </c>
      <c r="B34" s="359" t="s">
        <v>60</v>
      </c>
      <c r="C34" s="359"/>
      <c r="D34" s="359"/>
      <c r="E34" s="359"/>
      <c r="F34" s="359"/>
      <c r="G34" s="359"/>
      <c r="H34" s="384"/>
      <c r="I34" s="384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pans="1:257" ht="18" customHeight="1" x14ac:dyDescent="0.3">
      <c r="A35" s="3">
        <v>17</v>
      </c>
      <c r="B35" s="359" t="s">
        <v>61</v>
      </c>
      <c r="C35" s="359"/>
      <c r="D35" s="359"/>
      <c r="E35" s="359"/>
      <c r="F35" s="359"/>
      <c r="G35" s="359"/>
      <c r="H35" s="384"/>
      <c r="I35" s="38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257" ht="18" customHeight="1" x14ac:dyDescent="0.3">
      <c r="A36" s="3">
        <v>19</v>
      </c>
      <c r="B36" s="359" t="s">
        <v>62</v>
      </c>
      <c r="C36" s="359"/>
      <c r="D36" s="359"/>
      <c r="E36" s="359"/>
      <c r="F36" s="359"/>
      <c r="G36" s="359"/>
      <c r="H36" s="384"/>
      <c r="I36" s="38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spans="1:257" ht="18" customHeight="1" x14ac:dyDescent="0.3">
      <c r="A37" s="3">
        <v>20</v>
      </c>
      <c r="B37" s="359" t="s">
        <v>63</v>
      </c>
      <c r="C37" s="359"/>
      <c r="D37" s="359"/>
      <c r="E37" s="359"/>
      <c r="F37" s="359"/>
      <c r="G37" s="359"/>
      <c r="H37" s="388">
        <v>1</v>
      </c>
      <c r="I37" s="38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spans="1:257" x14ac:dyDescent="0.3">
      <c r="A38" s="375"/>
      <c r="B38" s="375"/>
      <c r="C38" s="375"/>
      <c r="D38" s="375"/>
      <c r="E38" s="375"/>
      <c r="F38" s="375"/>
      <c r="G38" s="375"/>
      <c r="H38" s="375"/>
      <c r="I38" s="375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spans="1:257" x14ac:dyDescent="0.3">
      <c r="A39" s="389"/>
      <c r="B39" s="389"/>
      <c r="C39" s="389"/>
      <c r="D39" s="389"/>
      <c r="E39" s="389"/>
      <c r="F39" s="389"/>
      <c r="G39" s="389"/>
      <c r="H39" s="389"/>
      <c r="I39" s="38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spans="1:257" ht="14.25" customHeight="1" x14ac:dyDescent="0.3">
      <c r="A40" s="375"/>
      <c r="B40" s="375"/>
      <c r="C40" s="375"/>
      <c r="D40" s="375"/>
      <c r="E40" s="375"/>
      <c r="F40" s="375"/>
      <c r="G40" s="375"/>
      <c r="H40" s="375"/>
      <c r="I40" s="375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spans="1:257" ht="17.25" customHeight="1" x14ac:dyDescent="0.3">
      <c r="A41" s="391" t="s">
        <v>64</v>
      </c>
      <c r="B41" s="391"/>
      <c r="C41" s="391"/>
      <c r="D41" s="391"/>
      <c r="E41" s="391"/>
      <c r="F41" s="391"/>
      <c r="G41" s="391"/>
      <c r="H41" s="391"/>
      <c r="I41" s="39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spans="1:257" ht="38.25" customHeight="1" x14ac:dyDescent="0.3">
      <c r="A42" s="12">
        <v>1</v>
      </c>
      <c r="B42" s="378" t="s">
        <v>65</v>
      </c>
      <c r="C42" s="378"/>
      <c r="D42" s="378"/>
      <c r="E42" s="378"/>
      <c r="F42" s="378"/>
      <c r="G42" s="378"/>
      <c r="H42" s="13" t="s">
        <v>66</v>
      </c>
      <c r="I42" s="12" t="s">
        <v>67</v>
      </c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spans="1:257" ht="27.75" customHeight="1" x14ac:dyDescent="0.3">
      <c r="A43" s="3" t="s">
        <v>34</v>
      </c>
      <c r="B43" s="359" t="s">
        <v>68</v>
      </c>
      <c r="C43" s="359"/>
      <c r="D43" s="359"/>
      <c r="E43" s="359"/>
      <c r="F43" s="359"/>
      <c r="G43" s="359"/>
      <c r="H43" s="206">
        <v>1</v>
      </c>
      <c r="I43" s="15">
        <f>ROUNDUP(H21*H37,2)</f>
        <v>1757.2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257" ht="27.75" customHeight="1" x14ac:dyDescent="0.3">
      <c r="A44" s="3" t="s">
        <v>36</v>
      </c>
      <c r="B44" s="359" t="s">
        <v>69</v>
      </c>
      <c r="C44" s="359"/>
      <c r="D44" s="359"/>
      <c r="E44" s="359"/>
      <c r="F44" s="359"/>
      <c r="G44" s="359"/>
      <c r="H44" s="206">
        <v>0.3</v>
      </c>
      <c r="I44" s="15">
        <f>ROUNDUP(H24*H37,2)</f>
        <v>527.16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257" ht="27.75" customHeight="1" x14ac:dyDescent="0.3">
      <c r="A45" s="3" t="s">
        <v>38</v>
      </c>
      <c r="B45" s="359" t="s">
        <v>70</v>
      </c>
      <c r="C45" s="359"/>
      <c r="D45" s="359"/>
      <c r="E45" s="359"/>
      <c r="F45" s="359"/>
      <c r="G45" s="359"/>
      <c r="H45" s="206">
        <v>0</v>
      </c>
      <c r="I45" s="16">
        <v>0</v>
      </c>
      <c r="J45" s="1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</row>
    <row r="46" spans="1:257" ht="27.75" customHeight="1" x14ac:dyDescent="0.3">
      <c r="A46" s="3" t="s">
        <v>40</v>
      </c>
      <c r="B46" s="359" t="s">
        <v>72</v>
      </c>
      <c r="C46" s="359"/>
      <c r="D46" s="359"/>
      <c r="E46" s="359"/>
      <c r="F46" s="359"/>
      <c r="G46" s="359"/>
      <c r="H46" s="206">
        <v>0</v>
      </c>
      <c r="I46" s="16">
        <v>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</row>
    <row r="47" spans="1:257" ht="14.25" customHeight="1" x14ac:dyDescent="0.3">
      <c r="A47" s="3" t="s">
        <v>73</v>
      </c>
      <c r="B47" s="359" t="s">
        <v>74</v>
      </c>
      <c r="C47" s="359"/>
      <c r="D47" s="359"/>
      <c r="E47" s="359"/>
      <c r="F47" s="359"/>
      <c r="G47" s="359"/>
      <c r="H47" s="359"/>
      <c r="I47" s="15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</row>
    <row r="48" spans="1:257" ht="15.75" customHeight="1" x14ac:dyDescent="0.3">
      <c r="A48" s="390" t="s">
        <v>75</v>
      </c>
      <c r="B48" s="390"/>
      <c r="C48" s="390"/>
      <c r="D48" s="390"/>
      <c r="E48" s="390"/>
      <c r="F48" s="390"/>
      <c r="G48" s="390"/>
      <c r="H48" s="390"/>
      <c r="I48" s="17">
        <f>TRUNC(SUM(I43:I47),2)</f>
        <v>2284.36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</row>
    <row r="49" spans="1:257" ht="15.75" customHeight="1" x14ac:dyDescent="0.3">
      <c r="A49" s="375"/>
      <c r="B49" s="375"/>
      <c r="C49" s="375"/>
      <c r="D49" s="375"/>
      <c r="E49" s="375"/>
      <c r="F49" s="375"/>
      <c r="G49" s="375"/>
      <c r="H49" s="375"/>
      <c r="I49" s="375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</row>
    <row r="50" spans="1:257" ht="25.5" customHeight="1" x14ac:dyDescent="0.3">
      <c r="A50" s="3" t="s">
        <v>76</v>
      </c>
      <c r="B50" s="359" t="s">
        <v>77</v>
      </c>
      <c r="C50" s="359"/>
      <c r="D50" s="359"/>
      <c r="E50" s="359"/>
      <c r="F50" s="359"/>
      <c r="G50" s="359"/>
      <c r="H50" s="359"/>
      <c r="I50" s="15">
        <f>H36*H37</f>
        <v>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</row>
    <row r="51" spans="1:257" ht="42" customHeight="1" x14ac:dyDescent="0.3">
      <c r="A51" s="358" t="s">
        <v>78</v>
      </c>
      <c r="B51" s="358"/>
      <c r="C51" s="358"/>
      <c r="D51" s="358"/>
      <c r="E51" s="358"/>
      <c r="F51" s="358"/>
      <c r="G51" s="358"/>
      <c r="H51" s="358"/>
      <c r="I51" s="17">
        <f>I50</f>
        <v>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</row>
    <row r="52" spans="1:257" x14ac:dyDescent="0.3">
      <c r="A52" s="375"/>
      <c r="B52" s="375"/>
      <c r="C52" s="375"/>
      <c r="D52" s="375"/>
      <c r="E52" s="375"/>
      <c r="F52" s="375"/>
      <c r="G52" s="375"/>
      <c r="H52" s="375"/>
      <c r="I52" s="375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</row>
    <row r="53" spans="1:257" ht="13.5" customHeight="1" x14ac:dyDescent="0.3">
      <c r="A53" s="390" t="s">
        <v>79</v>
      </c>
      <c r="B53" s="390"/>
      <c r="C53" s="390"/>
      <c r="D53" s="390"/>
      <c r="E53" s="390"/>
      <c r="F53" s="390"/>
      <c r="G53" s="390"/>
      <c r="H53" s="390"/>
      <c r="I53" s="17">
        <f>I48+I51</f>
        <v>2284.36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</row>
    <row r="54" spans="1:257" ht="13.5" customHeight="1" x14ac:dyDescent="0.3">
      <c r="A54" s="375"/>
      <c r="B54" s="375"/>
      <c r="C54" s="375"/>
      <c r="D54" s="375"/>
      <c r="E54" s="375"/>
      <c r="F54" s="375"/>
      <c r="G54" s="375"/>
      <c r="H54" s="375"/>
      <c r="I54" s="375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spans="1:257" x14ac:dyDescent="0.3">
      <c r="A55" s="397"/>
      <c r="B55" s="397"/>
      <c r="C55" s="397"/>
      <c r="D55" s="397"/>
      <c r="E55" s="397"/>
      <c r="F55" s="397"/>
      <c r="G55" s="397"/>
      <c r="H55" s="397"/>
      <c r="I55" s="397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spans="1:257" ht="14.25" customHeight="1" x14ac:dyDescent="0.3">
      <c r="A56" s="375"/>
      <c r="B56" s="375"/>
      <c r="C56" s="375"/>
      <c r="D56" s="375"/>
      <c r="E56" s="375"/>
      <c r="F56" s="375"/>
      <c r="G56" s="375"/>
      <c r="H56" s="375"/>
      <c r="I56" s="375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spans="1:257" ht="15.5" x14ac:dyDescent="0.3">
      <c r="A57" s="398" t="s">
        <v>80</v>
      </c>
      <c r="B57" s="398"/>
      <c r="C57" s="398"/>
      <c r="D57" s="398"/>
      <c r="E57" s="398"/>
      <c r="F57" s="398"/>
      <c r="G57" s="398"/>
      <c r="H57" s="398"/>
      <c r="I57" s="398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spans="1:257" x14ac:dyDescent="0.3">
      <c r="A58" s="392" t="s">
        <v>81</v>
      </c>
      <c r="B58" s="392"/>
      <c r="C58" s="392"/>
      <c r="D58" s="392"/>
      <c r="E58" s="392"/>
      <c r="F58" s="392"/>
      <c r="G58" s="392"/>
      <c r="H58" s="392"/>
      <c r="I58" s="39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spans="1:257" x14ac:dyDescent="0.3">
      <c r="A59" s="18" t="s">
        <v>82</v>
      </c>
      <c r="B59" s="393" t="s">
        <v>83</v>
      </c>
      <c r="C59" s="393"/>
      <c r="D59" s="393"/>
      <c r="E59" s="393"/>
      <c r="F59" s="393"/>
      <c r="G59" s="393"/>
      <c r="H59" s="19" t="s">
        <v>84</v>
      </c>
      <c r="I59" s="3" t="s">
        <v>85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spans="1:257" ht="13.5" customHeight="1" x14ac:dyDescent="0.3">
      <c r="A60" s="18" t="s">
        <v>34</v>
      </c>
      <c r="B60" s="394" t="s">
        <v>86</v>
      </c>
      <c r="C60" s="394"/>
      <c r="D60" s="394"/>
      <c r="E60" s="394"/>
      <c r="F60" s="394"/>
      <c r="G60" s="394"/>
      <c r="H60" s="20">
        <v>8.3299999999999999E-2</v>
      </c>
      <c r="I60" s="21">
        <f>ROUNDUP($I$48*H60,2)</f>
        <v>190.29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spans="1:257" ht="13.5" customHeight="1" x14ac:dyDescent="0.3">
      <c r="A61" s="18" t="s">
        <v>36</v>
      </c>
      <c r="B61" s="395" t="s">
        <v>87</v>
      </c>
      <c r="C61" s="395"/>
      <c r="D61" s="395"/>
      <c r="E61" s="395"/>
      <c r="F61" s="395"/>
      <c r="G61" s="395"/>
      <c r="H61" s="22">
        <v>3.0249999999999999E-2</v>
      </c>
      <c r="I61" s="21">
        <f>ROUNDUP($I$48*H61,2)</f>
        <v>69.11</v>
      </c>
      <c r="J61" s="56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spans="1:257" x14ac:dyDescent="0.3">
      <c r="A62" s="396" t="s">
        <v>75</v>
      </c>
      <c r="B62" s="396"/>
      <c r="C62" s="396"/>
      <c r="D62" s="396"/>
      <c r="E62" s="396"/>
      <c r="F62" s="396"/>
      <c r="G62" s="396"/>
      <c r="H62" s="396"/>
      <c r="I62" s="23">
        <f>TRUNC(SUM(I60:I61),2)</f>
        <v>259.39999999999998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spans="1:257" x14ac:dyDescent="0.3">
      <c r="A63" s="375"/>
      <c r="B63" s="375"/>
      <c r="C63" s="375"/>
      <c r="D63" s="375"/>
      <c r="E63" s="375"/>
      <c r="F63" s="375"/>
      <c r="G63" s="375"/>
      <c r="H63" s="375"/>
      <c r="I63" s="375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257" x14ac:dyDescent="0.3">
      <c r="A64" s="400"/>
      <c r="B64" s="400"/>
      <c r="C64" s="400"/>
      <c r="D64" s="400"/>
      <c r="E64" s="400"/>
      <c r="F64" s="400"/>
      <c r="G64" s="400"/>
      <c r="H64" s="400"/>
      <c r="I64" s="400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spans="1:257" ht="14.25" customHeight="1" x14ac:dyDescent="0.3">
      <c r="A65" s="375"/>
      <c r="B65" s="375"/>
      <c r="C65" s="375"/>
      <c r="D65" s="375"/>
      <c r="E65" s="375"/>
      <c r="F65" s="375"/>
      <c r="G65" s="375"/>
      <c r="H65" s="375"/>
      <c r="I65" s="375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spans="1:257" ht="30" customHeight="1" x14ac:dyDescent="0.3">
      <c r="A66" s="401" t="s">
        <v>88</v>
      </c>
      <c r="B66" s="401"/>
      <c r="C66" s="401"/>
      <c r="D66" s="401"/>
      <c r="E66" s="401"/>
      <c r="F66" s="401"/>
      <c r="G66" s="401"/>
      <c r="H66" s="401"/>
      <c r="I66" s="401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spans="1:257" ht="30" customHeight="1" x14ac:dyDescent="0.3">
      <c r="A67" s="24" t="s">
        <v>89</v>
      </c>
      <c r="B67" s="402" t="s">
        <v>90</v>
      </c>
      <c r="C67" s="402"/>
      <c r="D67" s="402"/>
      <c r="E67" s="402"/>
      <c r="F67" s="402"/>
      <c r="G67" s="402"/>
      <c r="H67" s="26" t="s">
        <v>84</v>
      </c>
      <c r="I67" s="25" t="s">
        <v>67</v>
      </c>
    </row>
    <row r="68" spans="1:257" ht="14.25" customHeight="1" x14ac:dyDescent="0.3">
      <c r="A68" s="27" t="s">
        <v>34</v>
      </c>
      <c r="B68" s="399" t="s">
        <v>91</v>
      </c>
      <c r="C68" s="399"/>
      <c r="D68" s="399"/>
      <c r="E68" s="399"/>
      <c r="F68" s="399"/>
      <c r="G68" s="399"/>
      <c r="H68" s="213">
        <f>'Inserir dados na planilha'!I26</f>
        <v>0.2</v>
      </c>
      <c r="I68" s="16">
        <f t="shared" ref="I68:I75" si="0">ROUNDUP(($I$48+$I$62)*H68,2)</f>
        <v>508.76</v>
      </c>
    </row>
    <row r="69" spans="1:257" ht="14.25" customHeight="1" x14ac:dyDescent="0.3">
      <c r="A69" s="27" t="s">
        <v>36</v>
      </c>
      <c r="B69" s="399" t="s">
        <v>92</v>
      </c>
      <c r="C69" s="399"/>
      <c r="D69" s="399"/>
      <c r="E69" s="399"/>
      <c r="F69" s="399"/>
      <c r="G69" s="399"/>
      <c r="H69" s="213">
        <f>'Inserir dados na planilha'!I27</f>
        <v>2.5000000000000001E-2</v>
      </c>
      <c r="I69" s="16">
        <f t="shared" si="0"/>
        <v>63.6</v>
      </c>
    </row>
    <row r="70" spans="1:257" ht="80.25" customHeight="1" x14ac:dyDescent="0.3">
      <c r="A70" s="27" t="s">
        <v>38</v>
      </c>
      <c r="B70" s="399" t="s">
        <v>93</v>
      </c>
      <c r="C70" s="399"/>
      <c r="D70" s="260" t="s">
        <v>94</v>
      </c>
      <c r="E70" s="261">
        <f>'Inserir dados na planilha'!I28</f>
        <v>0.03</v>
      </c>
      <c r="F70" s="260" t="s">
        <v>95</v>
      </c>
      <c r="G70" s="268">
        <f>'Inserir dados na planilha'!I29</f>
        <v>2</v>
      </c>
      <c r="H70" s="269">
        <f>ROUND((E70*G70),6)</f>
        <v>0.06</v>
      </c>
      <c r="I70" s="16">
        <f t="shared" si="0"/>
        <v>152.63</v>
      </c>
    </row>
    <row r="71" spans="1:257" ht="14.25" customHeight="1" x14ac:dyDescent="0.3">
      <c r="A71" s="27" t="s">
        <v>40</v>
      </c>
      <c r="B71" s="399" t="s">
        <v>96</v>
      </c>
      <c r="C71" s="399"/>
      <c r="D71" s="399"/>
      <c r="E71" s="399"/>
      <c r="F71" s="399"/>
      <c r="G71" s="399"/>
      <c r="H71" s="213">
        <f>'Inserir dados na planilha'!I30</f>
        <v>1.4999999999999999E-2</v>
      </c>
      <c r="I71" s="16">
        <f t="shared" si="0"/>
        <v>38.159999999999997</v>
      </c>
    </row>
    <row r="72" spans="1:257" ht="14.25" customHeight="1" x14ac:dyDescent="0.3">
      <c r="A72" s="27" t="s">
        <v>73</v>
      </c>
      <c r="B72" s="399" t="s">
        <v>97</v>
      </c>
      <c r="C72" s="399"/>
      <c r="D72" s="399"/>
      <c r="E72" s="399"/>
      <c r="F72" s="399"/>
      <c r="G72" s="399"/>
      <c r="H72" s="213">
        <f>'Inserir dados na planilha'!I31</f>
        <v>0.01</v>
      </c>
      <c r="I72" s="16">
        <f t="shared" si="0"/>
        <v>25.44</v>
      </c>
    </row>
    <row r="73" spans="1:257" ht="14.25" customHeight="1" x14ac:dyDescent="0.3">
      <c r="A73" s="27" t="s">
        <v>76</v>
      </c>
      <c r="B73" s="399" t="s">
        <v>98</v>
      </c>
      <c r="C73" s="399"/>
      <c r="D73" s="399"/>
      <c r="E73" s="399"/>
      <c r="F73" s="399"/>
      <c r="G73" s="399"/>
      <c r="H73" s="213">
        <f>'Inserir dados na planilha'!I32</f>
        <v>6.0000000000000001E-3</v>
      </c>
      <c r="I73" s="16">
        <f t="shared" si="0"/>
        <v>15.27</v>
      </c>
    </row>
    <row r="74" spans="1:257" ht="14.25" customHeight="1" x14ac:dyDescent="0.3">
      <c r="A74" s="27" t="s">
        <v>99</v>
      </c>
      <c r="B74" s="399" t="s">
        <v>100</v>
      </c>
      <c r="C74" s="399"/>
      <c r="D74" s="399"/>
      <c r="E74" s="399"/>
      <c r="F74" s="399"/>
      <c r="G74" s="399"/>
      <c r="H74" s="213">
        <f>'Inserir dados na planilha'!I33</f>
        <v>2E-3</v>
      </c>
      <c r="I74" s="16">
        <f t="shared" si="0"/>
        <v>5.09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spans="1:257" ht="14.25" customHeight="1" x14ac:dyDescent="0.3">
      <c r="A75" s="27" t="s">
        <v>101</v>
      </c>
      <c r="B75" s="359" t="s">
        <v>102</v>
      </c>
      <c r="C75" s="359"/>
      <c r="D75" s="359"/>
      <c r="E75" s="359"/>
      <c r="F75" s="359"/>
      <c r="G75" s="359"/>
      <c r="H75" s="213">
        <v>0.08</v>
      </c>
      <c r="I75" s="16">
        <f t="shared" si="0"/>
        <v>203.51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spans="1:257" x14ac:dyDescent="0.3">
      <c r="A76" s="396" t="s">
        <v>75</v>
      </c>
      <c r="B76" s="396"/>
      <c r="C76" s="396"/>
      <c r="D76" s="396"/>
      <c r="E76" s="396"/>
      <c r="F76" s="396"/>
      <c r="G76" s="396"/>
      <c r="H76" s="29">
        <f>SUM(H68:H75)</f>
        <v>0.39800000000000008</v>
      </c>
      <c r="I76" s="30">
        <f>TRUNC(SUM(I68:I75),2)</f>
        <v>1012.46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spans="1:257" x14ac:dyDescent="0.3">
      <c r="A77" s="31"/>
      <c r="B77" s="32"/>
      <c r="C77" s="32"/>
      <c r="D77" s="32"/>
      <c r="E77" s="32"/>
      <c r="F77" s="32"/>
      <c r="G77" s="32"/>
      <c r="H77" s="33"/>
      <c r="I77" s="3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spans="1:257" x14ac:dyDescent="0.3">
      <c r="A78" s="400"/>
      <c r="B78" s="400"/>
      <c r="C78" s="400"/>
      <c r="D78" s="400"/>
      <c r="E78" s="400"/>
      <c r="F78" s="400"/>
      <c r="G78" s="400"/>
      <c r="H78" s="400"/>
      <c r="I78" s="400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spans="1:257" x14ac:dyDescent="0.3">
      <c r="A79" s="375"/>
      <c r="B79" s="375"/>
      <c r="C79" s="375"/>
      <c r="D79" s="375"/>
      <c r="E79" s="375"/>
      <c r="F79" s="375"/>
      <c r="G79" s="375"/>
      <c r="H79" s="375"/>
      <c r="I79" s="375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spans="1:257" x14ac:dyDescent="0.3">
      <c r="A80" s="407" t="s">
        <v>103</v>
      </c>
      <c r="B80" s="407"/>
      <c r="C80" s="407"/>
      <c r="D80" s="407"/>
      <c r="E80" s="407"/>
      <c r="F80" s="407"/>
      <c r="G80" s="407"/>
      <c r="H80" s="407"/>
      <c r="I80" s="407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spans="1:257" ht="15.75" customHeight="1" x14ac:dyDescent="0.3">
      <c r="A81" s="35" t="s">
        <v>104</v>
      </c>
      <c r="B81" s="402" t="s">
        <v>105</v>
      </c>
      <c r="C81" s="402"/>
      <c r="D81" s="402"/>
      <c r="E81" s="402"/>
      <c r="F81" s="402"/>
      <c r="G81" s="402"/>
      <c r="H81" s="402"/>
      <c r="I81" s="25" t="s">
        <v>85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spans="1:257" ht="14.25" customHeight="1" x14ac:dyDescent="0.3">
      <c r="A82" s="138" t="s">
        <v>34</v>
      </c>
      <c r="B82" s="399" t="s">
        <v>106</v>
      </c>
      <c r="C82" s="399"/>
      <c r="D82" s="399"/>
      <c r="E82" s="399"/>
      <c r="F82" s="399"/>
      <c r="G82" s="399"/>
      <c r="H82" s="399"/>
      <c r="I82" s="290">
        <f>IF(((H83*H84*H85)-(H21*H86))&lt;0,0,((H83*H84*H85)-(H21*H86))*H37)</f>
        <v>70.567999999999998</v>
      </c>
      <c r="J82" s="2"/>
      <c r="K82" s="195"/>
      <c r="L82" s="40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spans="1:257" ht="25.5" customHeight="1" x14ac:dyDescent="0.3">
      <c r="A83" s="138"/>
      <c r="B83" s="403" t="s">
        <v>377</v>
      </c>
      <c r="C83" s="403"/>
      <c r="D83" s="403"/>
      <c r="E83" s="403"/>
      <c r="F83" s="403"/>
      <c r="G83" s="403"/>
      <c r="H83" s="262">
        <f>'Inserir dados na planilha'!I37</f>
        <v>4</v>
      </c>
      <c r="I83" s="250"/>
      <c r="J83" s="2"/>
      <c r="K83" s="2"/>
      <c r="L83" s="182"/>
      <c r="M83" s="40"/>
      <c r="N83" s="18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spans="1:257" ht="14.25" customHeight="1" x14ac:dyDescent="0.3">
      <c r="A84" s="138"/>
      <c r="B84" s="403" t="s">
        <v>108</v>
      </c>
      <c r="C84" s="403"/>
      <c r="D84" s="403"/>
      <c r="E84" s="403"/>
      <c r="F84" s="403"/>
      <c r="G84" s="403"/>
      <c r="H84" s="251">
        <v>2</v>
      </c>
      <c r="I84" s="25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spans="1:257" ht="14.25" customHeight="1" x14ac:dyDescent="0.3">
      <c r="A85" s="138"/>
      <c r="B85" s="403" t="s">
        <v>109</v>
      </c>
      <c r="C85" s="403"/>
      <c r="D85" s="403"/>
      <c r="E85" s="403"/>
      <c r="F85" s="403"/>
      <c r="G85" s="403"/>
      <c r="H85" s="251">
        <v>22</v>
      </c>
      <c r="I85" s="25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spans="1:257" x14ac:dyDescent="0.3">
      <c r="A86" s="138"/>
      <c r="B86" s="404" t="s">
        <v>110</v>
      </c>
      <c r="C86" s="404"/>
      <c r="D86" s="404"/>
      <c r="E86" s="404"/>
      <c r="F86" s="404"/>
      <c r="G86" s="404"/>
      <c r="H86" s="253">
        <v>0.06</v>
      </c>
      <c r="I86" s="25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spans="1:257" ht="14.25" customHeight="1" x14ac:dyDescent="0.3">
      <c r="A87" s="255" t="s">
        <v>36</v>
      </c>
      <c r="B87" s="405" t="s">
        <v>388</v>
      </c>
      <c r="C87" s="405"/>
      <c r="D87" s="405"/>
      <c r="E87" s="405"/>
      <c r="F87" s="405"/>
      <c r="G87" s="405"/>
      <c r="H87" s="405"/>
      <c r="I87" s="290">
        <f>ROUNDUP((H88*H89)*(1-H90)*H37,2)</f>
        <v>624.6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spans="1:257" ht="14.25" customHeight="1" x14ac:dyDescent="0.3">
      <c r="A88" s="138"/>
      <c r="B88" s="406" t="s">
        <v>111</v>
      </c>
      <c r="C88" s="406"/>
      <c r="D88" s="406"/>
      <c r="E88" s="406"/>
      <c r="F88" s="406"/>
      <c r="G88" s="406"/>
      <c r="H88" s="256">
        <f>'Inserir dados na planilha'!I40</f>
        <v>28.390899999999998</v>
      </c>
      <c r="I88" s="25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spans="1:257" x14ac:dyDescent="0.3">
      <c r="A89" s="139"/>
      <c r="B89" s="403" t="s">
        <v>112</v>
      </c>
      <c r="C89" s="403"/>
      <c r="D89" s="403"/>
      <c r="E89" s="403"/>
      <c r="F89" s="403"/>
      <c r="G89" s="403"/>
      <c r="H89" s="251">
        <v>22</v>
      </c>
      <c r="I89" s="25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spans="1:257" ht="14" customHeight="1" x14ac:dyDescent="0.3">
      <c r="A90" s="139"/>
      <c r="B90" s="410" t="s">
        <v>113</v>
      </c>
      <c r="C90" s="411"/>
      <c r="D90" s="411"/>
      <c r="E90" s="411"/>
      <c r="F90" s="412"/>
      <c r="G90" s="258">
        <f>'Inserir dados na planilha'!G41</f>
        <v>0</v>
      </c>
      <c r="H90" s="256">
        <f>'Inserir dados na planilha'!I41</f>
        <v>0</v>
      </c>
      <c r="I90" s="252">
        <f>'Inserir dados na planilha'!I41</f>
        <v>0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spans="1:257" x14ac:dyDescent="0.3">
      <c r="A91" s="138" t="s">
        <v>38</v>
      </c>
      <c r="B91" s="409" t="s">
        <v>114</v>
      </c>
      <c r="C91" s="409"/>
      <c r="D91" s="409"/>
      <c r="E91" s="409"/>
      <c r="F91" s="409"/>
      <c r="G91" s="409"/>
      <c r="H91" s="256">
        <f>'Inserir dados na planilha'!I42</f>
        <v>0</v>
      </c>
      <c r="I91" s="256">
        <f>ROUNDUP((H91*$H$37)*(1-'Inserir dados na planilha'!H42),2)</f>
        <v>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</row>
    <row r="92" spans="1:257" x14ac:dyDescent="0.3">
      <c r="A92" s="138" t="s">
        <v>40</v>
      </c>
      <c r="B92" s="399" t="s">
        <v>115</v>
      </c>
      <c r="C92" s="399"/>
      <c r="D92" s="399"/>
      <c r="E92" s="399"/>
      <c r="F92" s="399"/>
      <c r="G92" s="399"/>
      <c r="H92" s="256">
        <f>'Inserir dados na planilha'!I43</f>
        <v>44.03</v>
      </c>
      <c r="I92" s="256">
        <f>ROUNDUP(((H92*$H$37)*(1-'Inserir dados na planilha'!H43)),2)</f>
        <v>44.03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</row>
    <row r="93" spans="1:257" x14ac:dyDescent="0.3">
      <c r="A93" s="138" t="s">
        <v>73</v>
      </c>
      <c r="B93" s="413" t="s">
        <v>378</v>
      </c>
      <c r="C93" s="414"/>
      <c r="D93" s="414"/>
      <c r="E93" s="414"/>
      <c r="F93" s="414"/>
      <c r="G93" s="415"/>
      <c r="H93" s="256">
        <f>'Inserir dados na planilha'!I44</f>
        <v>0</v>
      </c>
      <c r="I93" s="256">
        <f>ROUNDUP((H93*$H$37)*(1-'Inserir dados na planilha'!H44),2)</f>
        <v>0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</row>
    <row r="94" spans="1:257" x14ac:dyDescent="0.3">
      <c r="A94" s="138" t="s">
        <v>76</v>
      </c>
      <c r="B94" s="413" t="s">
        <v>379</v>
      </c>
      <c r="C94" s="414"/>
      <c r="D94" s="414"/>
      <c r="E94" s="414"/>
      <c r="F94" s="414"/>
      <c r="G94" s="415"/>
      <c r="H94" s="256">
        <f>'Inserir dados na planilha'!I45</f>
        <v>0</v>
      </c>
      <c r="I94" s="256">
        <f>ROUNDUP((H94*$H$37)*(1-'Inserir dados na planilha'!H45),2)</f>
        <v>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</row>
    <row r="95" spans="1:257" x14ac:dyDescent="0.3">
      <c r="A95" s="38"/>
      <c r="B95" s="396" t="s">
        <v>75</v>
      </c>
      <c r="C95" s="396"/>
      <c r="D95" s="396"/>
      <c r="E95" s="396"/>
      <c r="F95" s="396"/>
      <c r="G95" s="396"/>
      <c r="H95" s="396"/>
      <c r="I95" s="30">
        <f>TRUNC(SUM(I82:I94),2)</f>
        <v>739.19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</row>
    <row r="96" spans="1:257" x14ac:dyDescent="0.3">
      <c r="A96" s="375"/>
      <c r="B96" s="375"/>
      <c r="C96" s="375"/>
      <c r="D96" s="375"/>
      <c r="E96" s="375"/>
      <c r="F96" s="375"/>
      <c r="G96" s="375"/>
      <c r="H96" s="375"/>
      <c r="I96" s="375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</row>
    <row r="97" spans="1:257" x14ac:dyDescent="0.3">
      <c r="A97" s="408"/>
      <c r="B97" s="408"/>
      <c r="C97" s="408"/>
      <c r="D97" s="408"/>
      <c r="E97" s="408"/>
      <c r="F97" s="408"/>
      <c r="G97" s="408"/>
      <c r="H97" s="408"/>
      <c r="I97" s="408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</row>
    <row r="98" spans="1:257" ht="14.25" customHeight="1" x14ac:dyDescent="0.3">
      <c r="A98" s="375"/>
      <c r="B98" s="375"/>
      <c r="C98" s="375"/>
      <c r="D98" s="375"/>
      <c r="E98" s="375"/>
      <c r="F98" s="375"/>
      <c r="G98" s="375"/>
      <c r="H98" s="375"/>
      <c r="I98" s="375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</row>
    <row r="99" spans="1:257" ht="17.25" customHeight="1" x14ac:dyDescent="0.3">
      <c r="A99" s="391" t="s">
        <v>116</v>
      </c>
      <c r="B99" s="391"/>
      <c r="C99" s="391"/>
      <c r="D99" s="391"/>
      <c r="E99" s="391"/>
      <c r="F99" s="391"/>
      <c r="G99" s="391"/>
      <c r="H99" s="391"/>
      <c r="I99" s="391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spans="1:257" ht="15.75" customHeight="1" x14ac:dyDescent="0.3">
      <c r="A100" s="25">
        <v>2</v>
      </c>
      <c r="B100" s="402" t="s">
        <v>117</v>
      </c>
      <c r="C100" s="402"/>
      <c r="D100" s="402"/>
      <c r="E100" s="402"/>
      <c r="F100" s="402"/>
      <c r="G100" s="402"/>
      <c r="H100" s="402"/>
      <c r="I100" s="25" t="s">
        <v>85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spans="1:257" ht="14.25" customHeight="1" x14ac:dyDescent="0.3">
      <c r="A101" s="3" t="s">
        <v>82</v>
      </c>
      <c r="B101" s="359" t="s">
        <v>118</v>
      </c>
      <c r="C101" s="359"/>
      <c r="D101" s="359"/>
      <c r="E101" s="359"/>
      <c r="F101" s="359"/>
      <c r="G101" s="359"/>
      <c r="H101" s="359"/>
      <c r="I101" s="184">
        <f>I62</f>
        <v>259.39999999999998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</row>
    <row r="102" spans="1:257" ht="14.25" customHeight="1" x14ac:dyDescent="0.3">
      <c r="A102" s="3" t="s">
        <v>89</v>
      </c>
      <c r="B102" s="359" t="s">
        <v>90</v>
      </c>
      <c r="C102" s="359"/>
      <c r="D102" s="359"/>
      <c r="E102" s="359"/>
      <c r="F102" s="359"/>
      <c r="G102" s="359"/>
      <c r="H102" s="359"/>
      <c r="I102" s="184">
        <f>I76</f>
        <v>1012.46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</row>
    <row r="103" spans="1:257" ht="14.25" customHeight="1" x14ac:dyDescent="0.3">
      <c r="A103" s="3" t="s">
        <v>104</v>
      </c>
      <c r="B103" s="359" t="s">
        <v>105</v>
      </c>
      <c r="C103" s="359"/>
      <c r="D103" s="359"/>
      <c r="E103" s="359"/>
      <c r="F103" s="359"/>
      <c r="G103" s="359"/>
      <c r="H103" s="359"/>
      <c r="I103" s="184">
        <f>I95</f>
        <v>739.19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spans="1:257" ht="14.25" customHeight="1" x14ac:dyDescent="0.3">
      <c r="A104" s="390" t="s">
        <v>75</v>
      </c>
      <c r="B104" s="390"/>
      <c r="C104" s="390"/>
      <c r="D104" s="390"/>
      <c r="E104" s="390"/>
      <c r="F104" s="390"/>
      <c r="G104" s="390"/>
      <c r="H104" s="390"/>
      <c r="I104" s="39">
        <f>TRUNC(SUM(I101:I103),2)</f>
        <v>2011.05</v>
      </c>
      <c r="J104" s="2"/>
      <c r="K104" s="40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spans="1:257" ht="14.25" customHeight="1" x14ac:dyDescent="0.3">
      <c r="A105" s="375"/>
      <c r="B105" s="375"/>
      <c r="C105" s="375"/>
      <c r="D105" s="375"/>
      <c r="E105" s="375"/>
      <c r="F105" s="375"/>
      <c r="G105" s="375"/>
      <c r="H105" s="375"/>
      <c r="I105" s="375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</row>
    <row r="106" spans="1:257" ht="15.5" x14ac:dyDescent="0.3">
      <c r="A106" s="398" t="s">
        <v>119</v>
      </c>
      <c r="B106" s="398"/>
      <c r="C106" s="398"/>
      <c r="D106" s="398"/>
      <c r="E106" s="398"/>
      <c r="F106" s="398"/>
      <c r="G106" s="398"/>
      <c r="H106" s="398"/>
      <c r="I106" s="398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</row>
    <row r="107" spans="1:257" x14ac:dyDescent="0.3">
      <c r="A107" s="35">
        <v>3</v>
      </c>
      <c r="B107" s="416" t="s">
        <v>120</v>
      </c>
      <c r="C107" s="416"/>
      <c r="D107" s="416"/>
      <c r="E107" s="416"/>
      <c r="F107" s="416"/>
      <c r="G107" s="416"/>
      <c r="H107" s="41" t="s">
        <v>84</v>
      </c>
      <c r="I107" s="35" t="s">
        <v>121</v>
      </c>
    </row>
    <row r="108" spans="1:257" ht="15" customHeight="1" x14ac:dyDescent="0.3">
      <c r="A108" s="18" t="s">
        <v>34</v>
      </c>
      <c r="B108" s="359" t="s">
        <v>122</v>
      </c>
      <c r="C108" s="359"/>
      <c r="D108" s="359"/>
      <c r="E108" s="359"/>
      <c r="F108" s="359"/>
      <c r="G108" s="359"/>
      <c r="H108" s="275">
        <f>I108/($I$48+$I$62)</f>
        <v>4.5837657640657916E-3</v>
      </c>
      <c r="I108" s="16">
        <f>ROUNDUP(((((I48+I62)*5.5%)/12)),2)</f>
        <v>11.66</v>
      </c>
      <c r="J108" s="215"/>
      <c r="K108" s="271"/>
    </row>
    <row r="109" spans="1:257" x14ac:dyDescent="0.3">
      <c r="A109" s="18" t="s">
        <v>36</v>
      </c>
      <c r="B109" s="393" t="s">
        <v>123</v>
      </c>
      <c r="C109" s="393"/>
      <c r="D109" s="393"/>
      <c r="E109" s="393"/>
      <c r="F109" s="393"/>
      <c r="G109" s="393"/>
      <c r="H109" s="216">
        <f>I109/($I$48+$I$62)</f>
        <v>3.6953171682863165E-4</v>
      </c>
      <c r="I109" s="16">
        <f>ROUNDUP($I$108*H75,2)</f>
        <v>0.94000000000000006</v>
      </c>
      <c r="J109" s="215"/>
    </row>
    <row r="110" spans="1:257" ht="13.5" customHeight="1" x14ac:dyDescent="0.3">
      <c r="A110" s="18" t="s">
        <v>38</v>
      </c>
      <c r="B110" s="359" t="s">
        <v>124</v>
      </c>
      <c r="C110" s="359"/>
      <c r="D110" s="359"/>
      <c r="E110" s="359"/>
      <c r="F110" s="359"/>
      <c r="G110" s="359"/>
      <c r="H110" s="43">
        <v>8.0000000000000002E-3</v>
      </c>
      <c r="I110" s="16">
        <f>ROUNDUP(H110*($I$48+$I$62),2)</f>
        <v>20.360000000000003</v>
      </c>
      <c r="J110" s="215"/>
    </row>
    <row r="111" spans="1:257" ht="15" customHeight="1" x14ac:dyDescent="0.3">
      <c r="A111" s="18" t="s">
        <v>40</v>
      </c>
      <c r="B111" s="359" t="s">
        <v>125</v>
      </c>
      <c r="C111" s="359"/>
      <c r="D111" s="359"/>
      <c r="E111" s="359"/>
      <c r="F111" s="359"/>
      <c r="G111" s="359"/>
      <c r="H111" s="276">
        <f>I111/($I$48+$I$62)</f>
        <v>1.9447589395225964E-2</v>
      </c>
      <c r="I111" s="16">
        <f>ROUNDUP(((($I$48+$I$62)/30)*7)/12,2)</f>
        <v>49.47</v>
      </c>
      <c r="J111" s="45"/>
    </row>
    <row r="112" spans="1:257" ht="24" customHeight="1" x14ac:dyDescent="0.3">
      <c r="A112" s="18" t="s">
        <v>73</v>
      </c>
      <c r="B112" s="359" t="s">
        <v>126</v>
      </c>
      <c r="C112" s="359"/>
      <c r="D112" s="359"/>
      <c r="E112" s="359"/>
      <c r="F112" s="359"/>
      <c r="G112" s="359"/>
      <c r="H112" s="43">
        <f>I112/($I$48+$I$62)</f>
        <v>7.7405101110167625E-3</v>
      </c>
      <c r="I112" s="16">
        <f>ROUNDUP(I111*H76,2)</f>
        <v>19.690000000000001</v>
      </c>
      <c r="J112" s="215"/>
    </row>
    <row r="113" spans="1:257" x14ac:dyDescent="0.3">
      <c r="A113" s="18" t="s">
        <v>76</v>
      </c>
      <c r="B113" s="359" t="s">
        <v>127</v>
      </c>
      <c r="C113" s="359"/>
      <c r="D113" s="359"/>
      <c r="E113" s="359"/>
      <c r="F113" s="359"/>
      <c r="G113" s="359"/>
      <c r="H113" s="28">
        <f>I113/(I48)</f>
        <v>3.2000210124498767E-2</v>
      </c>
      <c r="I113" s="16">
        <f>ROUNDUP((I48)*H75*40%,2)</f>
        <v>73.100000000000009</v>
      </c>
      <c r="J113" s="215"/>
    </row>
    <row r="114" spans="1:257" x14ac:dyDescent="0.3">
      <c r="A114" s="396" t="s">
        <v>75</v>
      </c>
      <c r="B114" s="396"/>
      <c r="C114" s="396"/>
      <c r="D114" s="396"/>
      <c r="E114" s="396"/>
      <c r="F114" s="396"/>
      <c r="G114" s="396"/>
      <c r="H114" s="396"/>
      <c r="I114" s="30">
        <f>TRUNC(SUM(I108:I113),2)</f>
        <v>175.22</v>
      </c>
    </row>
    <row r="115" spans="1:257" x14ac:dyDescent="0.3">
      <c r="A115" s="419"/>
      <c r="B115" s="419"/>
      <c r="C115" s="419"/>
      <c r="D115" s="419"/>
      <c r="E115" s="419"/>
      <c r="F115" s="419"/>
      <c r="G115" s="419"/>
      <c r="H115" s="419"/>
      <c r="I115" s="419"/>
    </row>
    <row r="116" spans="1:257" ht="17.25" customHeight="1" x14ac:dyDescent="0.3">
      <c r="A116" s="391" t="s">
        <v>128</v>
      </c>
      <c r="B116" s="391"/>
      <c r="C116" s="391"/>
      <c r="D116" s="391"/>
      <c r="E116" s="391"/>
      <c r="F116" s="391"/>
      <c r="G116" s="391"/>
      <c r="H116" s="391"/>
      <c r="I116" s="391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</row>
    <row r="117" spans="1:257" ht="17.25" hidden="1" customHeight="1" x14ac:dyDescent="0.35">
      <c r="A117" s="420" t="s">
        <v>129</v>
      </c>
      <c r="B117" s="420"/>
      <c r="C117" s="420"/>
      <c r="D117" s="420"/>
      <c r="E117" s="420"/>
      <c r="F117" s="420"/>
      <c r="G117" s="420"/>
      <c r="H117" s="420"/>
      <c r="I117" s="420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spans="1:257" ht="33.75" hidden="1" customHeight="1" x14ac:dyDescent="0.3">
      <c r="A118" s="46" t="s">
        <v>130</v>
      </c>
      <c r="B118" s="47">
        <f>I48</f>
        <v>2284.36</v>
      </c>
      <c r="C118" s="11"/>
      <c r="D118" s="48" t="s">
        <v>131</v>
      </c>
      <c r="E118" s="49">
        <f>I104-I82-I87</f>
        <v>1315.8820000000001</v>
      </c>
      <c r="F118" s="11"/>
      <c r="G118" s="46" t="s">
        <v>132</v>
      </c>
      <c r="H118" s="183">
        <f>I114</f>
        <v>175.22</v>
      </c>
      <c r="I118" s="50">
        <f>ROUND(B118+E118+H118,2)</f>
        <v>3775.46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19" spans="1:257" ht="15.5" x14ac:dyDescent="0.3">
      <c r="A119" s="391" t="s">
        <v>133</v>
      </c>
      <c r="B119" s="391"/>
      <c r="C119" s="391"/>
      <c r="D119" s="391"/>
      <c r="E119" s="391"/>
      <c r="F119" s="391"/>
      <c r="G119" s="391"/>
      <c r="H119" s="391"/>
      <c r="I119" s="391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</row>
    <row r="120" spans="1:257" x14ac:dyDescent="0.3">
      <c r="A120" s="51" t="s">
        <v>134</v>
      </c>
      <c r="B120" s="417" t="s">
        <v>135</v>
      </c>
      <c r="C120" s="417"/>
      <c r="D120" s="417"/>
      <c r="E120" s="417"/>
      <c r="F120" s="417"/>
      <c r="G120" s="417"/>
      <c r="H120" s="41" t="s">
        <v>84</v>
      </c>
      <c r="I120" s="52" t="s">
        <v>85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spans="1:257" ht="13.5" customHeight="1" x14ac:dyDescent="0.3">
      <c r="A121" s="18" t="s">
        <v>34</v>
      </c>
      <c r="B121" s="394" t="s">
        <v>136</v>
      </c>
      <c r="C121" s="394"/>
      <c r="D121" s="394"/>
      <c r="E121" s="394"/>
      <c r="F121" s="394"/>
      <c r="G121" s="394"/>
      <c r="H121" s="53">
        <v>9.0749999999999997E-2</v>
      </c>
      <c r="I121" s="16">
        <f>ROUNDUP($I$48*H121,2)</f>
        <v>207.31</v>
      </c>
      <c r="J121" s="2"/>
      <c r="K121" s="54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</row>
    <row r="122" spans="1:257" ht="13.5" customHeight="1" x14ac:dyDescent="0.3">
      <c r="A122" s="18" t="s">
        <v>137</v>
      </c>
      <c r="B122" s="394" t="s">
        <v>138</v>
      </c>
      <c r="C122" s="394"/>
      <c r="D122" s="394"/>
      <c r="E122" s="394"/>
      <c r="F122" s="394"/>
      <c r="G122" s="394"/>
      <c r="H122" s="270">
        <f>I122/($I$48+$I$62)</f>
        <v>3.2436236122904673E-2</v>
      </c>
      <c r="I122" s="16">
        <f>ROUNDUP(I121*H76,2)</f>
        <v>82.51</v>
      </c>
      <c r="J122" s="2"/>
      <c r="K122" s="54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</row>
    <row r="123" spans="1:257" ht="15" customHeight="1" x14ac:dyDescent="0.3">
      <c r="A123" s="55" t="s">
        <v>36</v>
      </c>
      <c r="B123" s="418" t="s">
        <v>139</v>
      </c>
      <c r="C123" s="418"/>
      <c r="D123" s="418"/>
      <c r="E123" s="418"/>
      <c r="F123" s="418"/>
      <c r="G123" s="418"/>
      <c r="H123" s="264">
        <f>'Inserir dados na planilha'!I49</f>
        <v>1.6299999999999999E-2</v>
      </c>
      <c r="I123" s="212">
        <f>ROUNDUP(H123*$I$118,2)</f>
        <v>61.54</v>
      </c>
      <c r="J123" s="5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</row>
    <row r="124" spans="1:257" ht="15" customHeight="1" x14ac:dyDescent="0.3">
      <c r="A124" s="18" t="s">
        <v>38</v>
      </c>
      <c r="B124" s="359" t="s">
        <v>140</v>
      </c>
      <c r="C124" s="359"/>
      <c r="D124" s="359"/>
      <c r="E124" s="359"/>
      <c r="F124" s="359"/>
      <c r="G124" s="359"/>
      <c r="H124" s="264">
        <f>'Inserir dados na planilha'!I50</f>
        <v>2.3000000000000001E-4</v>
      </c>
      <c r="I124" s="212">
        <f>ROUNDUP(H124*$I$118,2)</f>
        <v>0.87</v>
      </c>
      <c r="J124" s="56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spans="1:257" ht="15" customHeight="1" x14ac:dyDescent="0.3">
      <c r="A125" s="18" t="s">
        <v>40</v>
      </c>
      <c r="B125" s="359" t="s">
        <v>141</v>
      </c>
      <c r="C125" s="359"/>
      <c r="D125" s="359"/>
      <c r="E125" s="359"/>
      <c r="F125" s="359"/>
      <c r="G125" s="359"/>
      <c r="H125" s="264">
        <f>'Inserir dados na planilha'!I51</f>
        <v>3.3E-3</v>
      </c>
      <c r="I125" s="212">
        <f>ROUNDUP(H125*$I$118,2)</f>
        <v>12.459999999999999</v>
      </c>
      <c r="J125" s="56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spans="1:257" ht="15" customHeight="1" x14ac:dyDescent="0.3">
      <c r="A126" s="18" t="s">
        <v>73</v>
      </c>
      <c r="B126" s="359" t="s">
        <v>142</v>
      </c>
      <c r="C126" s="359"/>
      <c r="D126" s="359"/>
      <c r="E126" s="359"/>
      <c r="F126" s="359"/>
      <c r="G126" s="359"/>
      <c r="H126" s="265">
        <f>'Inserir dados na planilha'!I52</f>
        <v>5.5000000000000003E-4</v>
      </c>
      <c r="I126" s="212">
        <f>ROUNDUP(H126*$I$118,2)</f>
        <v>2.0799999999999996</v>
      </c>
      <c r="J126" s="56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</row>
    <row r="127" spans="1:257" ht="15" customHeight="1" x14ac:dyDescent="0.3">
      <c r="A127" s="18" t="s">
        <v>76</v>
      </c>
      <c r="B127" s="359" t="s">
        <v>143</v>
      </c>
      <c r="C127" s="359"/>
      <c r="D127" s="359"/>
      <c r="E127" s="359"/>
      <c r="F127" s="359"/>
      <c r="G127" s="359"/>
      <c r="H127" s="264">
        <f>'Inserir dados na planilha'!I53</f>
        <v>1.3899999999999999E-2</v>
      </c>
      <c r="I127" s="212">
        <f>ROUNDUP(H127*$I$118,2)</f>
        <v>52.48</v>
      </c>
      <c r="J127" s="56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</row>
    <row r="128" spans="1:257" ht="15.5" x14ac:dyDescent="0.3">
      <c r="A128" s="422" t="s">
        <v>75</v>
      </c>
      <c r="B128" s="422"/>
      <c r="C128" s="422"/>
      <c r="D128" s="422"/>
      <c r="E128" s="422"/>
      <c r="F128" s="422"/>
      <c r="G128" s="422"/>
      <c r="H128" s="422"/>
      <c r="I128" s="57">
        <f>TRUNC(SUM(I121:I127),2)</f>
        <v>419.25</v>
      </c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</row>
    <row r="129" spans="1:257" x14ac:dyDescent="0.3">
      <c r="A129" s="419"/>
      <c r="B129" s="419"/>
      <c r="C129" s="419"/>
      <c r="D129" s="419"/>
      <c r="E129" s="419"/>
      <c r="F129" s="419"/>
      <c r="G129" s="419"/>
      <c r="H129" s="419"/>
      <c r="I129" s="419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</row>
    <row r="130" spans="1:257" x14ac:dyDescent="0.3">
      <c r="A130" s="407" t="s">
        <v>144</v>
      </c>
      <c r="B130" s="407"/>
      <c r="C130" s="407"/>
      <c r="D130" s="407"/>
      <c r="E130" s="407"/>
      <c r="F130" s="407"/>
      <c r="G130" s="407"/>
      <c r="H130" s="407"/>
      <c r="I130" s="407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</row>
    <row r="131" spans="1:257" x14ac:dyDescent="0.3">
      <c r="A131" s="35" t="s">
        <v>145</v>
      </c>
      <c r="B131" s="416" t="s">
        <v>146</v>
      </c>
      <c r="C131" s="416"/>
      <c r="D131" s="416"/>
      <c r="E131" s="416"/>
      <c r="F131" s="416"/>
      <c r="G131" s="416"/>
      <c r="H131" s="416"/>
      <c r="I131" s="50" t="s">
        <v>85</v>
      </c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</row>
    <row r="132" spans="1:257" x14ac:dyDescent="0.3">
      <c r="A132" s="18" t="s">
        <v>34</v>
      </c>
      <c r="B132" s="393" t="s">
        <v>147</v>
      </c>
      <c r="C132" s="393"/>
      <c r="D132" s="393"/>
      <c r="E132" s="393"/>
      <c r="F132" s="393"/>
      <c r="G132" s="393"/>
      <c r="H132" s="393"/>
      <c r="I132" s="16">
        <v>0</v>
      </c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</row>
    <row r="133" spans="1:257" ht="15.5" x14ac:dyDescent="0.3">
      <c r="A133" s="421" t="s">
        <v>75</v>
      </c>
      <c r="B133" s="421"/>
      <c r="C133" s="421"/>
      <c r="D133" s="421"/>
      <c r="E133" s="421"/>
      <c r="F133" s="421"/>
      <c r="G133" s="421"/>
      <c r="H133" s="421"/>
      <c r="I133" s="16">
        <v>0</v>
      </c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</row>
    <row r="134" spans="1:257" ht="14.25" customHeight="1" x14ac:dyDescent="0.3">
      <c r="A134" s="419"/>
      <c r="B134" s="419"/>
      <c r="C134" s="419"/>
      <c r="D134" s="419"/>
      <c r="E134" s="419"/>
      <c r="F134" s="419"/>
      <c r="G134" s="419"/>
      <c r="H134" s="419"/>
      <c r="I134" s="419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</row>
    <row r="135" spans="1:257" ht="17.25" customHeight="1" x14ac:dyDescent="0.3">
      <c r="A135" s="391" t="s">
        <v>148</v>
      </c>
      <c r="B135" s="391"/>
      <c r="C135" s="391"/>
      <c r="D135" s="391"/>
      <c r="E135" s="391"/>
      <c r="F135" s="391"/>
      <c r="G135" s="391"/>
      <c r="H135" s="391"/>
      <c r="I135" s="39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</row>
    <row r="136" spans="1:257" x14ac:dyDescent="0.3">
      <c r="A136" s="25">
        <v>4</v>
      </c>
      <c r="B136" s="416" t="s">
        <v>149</v>
      </c>
      <c r="C136" s="416"/>
      <c r="D136" s="416"/>
      <c r="E136" s="416"/>
      <c r="F136" s="416"/>
      <c r="G136" s="416"/>
      <c r="H136" s="416"/>
      <c r="I136" s="50" t="s">
        <v>85</v>
      </c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</row>
    <row r="137" spans="1:257" x14ac:dyDescent="0.3">
      <c r="A137" s="3" t="s">
        <v>134</v>
      </c>
      <c r="B137" s="393" t="s">
        <v>135</v>
      </c>
      <c r="C137" s="393"/>
      <c r="D137" s="393"/>
      <c r="E137" s="393"/>
      <c r="F137" s="393"/>
      <c r="G137" s="393"/>
      <c r="H137" s="393"/>
      <c r="I137" s="16">
        <f>I128</f>
        <v>419.25</v>
      </c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spans="1:257" x14ac:dyDescent="0.3">
      <c r="A138" s="3" t="s">
        <v>145</v>
      </c>
      <c r="B138" s="393" t="s">
        <v>146</v>
      </c>
      <c r="C138" s="393"/>
      <c r="D138" s="393"/>
      <c r="E138" s="393"/>
      <c r="F138" s="393"/>
      <c r="G138" s="393"/>
      <c r="H138" s="393"/>
      <c r="I138" s="16">
        <f>I133</f>
        <v>0</v>
      </c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spans="1:257" ht="14.25" customHeight="1" x14ac:dyDescent="0.3">
      <c r="A139" s="390" t="s">
        <v>75</v>
      </c>
      <c r="B139" s="390"/>
      <c r="C139" s="390"/>
      <c r="D139" s="390"/>
      <c r="E139" s="390"/>
      <c r="F139" s="390"/>
      <c r="G139" s="390"/>
      <c r="H139" s="390"/>
      <c r="I139" s="30">
        <f>TRUNC(SUM(I137:I138),2)</f>
        <v>419.25</v>
      </c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spans="1:257" x14ac:dyDescent="0.3">
      <c r="A140" s="375"/>
      <c r="B140" s="375"/>
      <c r="C140" s="375"/>
      <c r="D140" s="375"/>
      <c r="E140" s="375"/>
      <c r="F140" s="375"/>
      <c r="G140" s="375"/>
      <c r="H140" s="375"/>
      <c r="I140" s="375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spans="1:257" ht="17.25" customHeight="1" x14ac:dyDescent="0.3">
      <c r="A141" s="391" t="s">
        <v>150</v>
      </c>
      <c r="B141" s="391"/>
      <c r="C141" s="391"/>
      <c r="D141" s="391"/>
      <c r="E141" s="391"/>
      <c r="F141" s="391"/>
      <c r="G141" s="391"/>
      <c r="H141" s="391"/>
      <c r="I141" s="391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spans="1:257" ht="28.5" customHeight="1" x14ac:dyDescent="0.3">
      <c r="A142" s="35">
        <v>5</v>
      </c>
      <c r="B142" s="424" t="s">
        <v>151</v>
      </c>
      <c r="C142" s="425"/>
      <c r="D142" s="425"/>
      <c r="E142" s="425"/>
      <c r="F142" s="425"/>
      <c r="G142" s="426"/>
      <c r="H142" s="210" t="s">
        <v>398</v>
      </c>
      <c r="I142" s="209" t="s">
        <v>85</v>
      </c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spans="1:257" ht="14.25" customHeight="1" x14ac:dyDescent="0.3">
      <c r="A143" s="18" t="s">
        <v>34</v>
      </c>
      <c r="B143" s="365" t="s">
        <v>152</v>
      </c>
      <c r="C143" s="366"/>
      <c r="D143" s="366"/>
      <c r="E143" s="366"/>
      <c r="F143" s="366"/>
      <c r="G143" s="367"/>
      <c r="H143" s="214">
        <f>'Uniforme e Materiais - Grupo 1'!F18</f>
        <v>215.5</v>
      </c>
      <c r="I143" s="214">
        <f>H143*H37</f>
        <v>215.5</v>
      </c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spans="1:257" ht="14.25" customHeight="1" x14ac:dyDescent="0.3">
      <c r="A144" s="18" t="s">
        <v>36</v>
      </c>
      <c r="B144" s="359" t="s">
        <v>153</v>
      </c>
      <c r="C144" s="359"/>
      <c r="D144" s="359"/>
      <c r="E144" s="359"/>
      <c r="F144" s="359"/>
      <c r="G144" s="359"/>
      <c r="H144" s="359"/>
      <c r="I144" s="214">
        <f>'Uniforme e Materiais - Grupo 1'!F36</f>
        <v>241.35</v>
      </c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</row>
    <row r="145" spans="1:257" x14ac:dyDescent="0.3">
      <c r="A145" s="18" t="s">
        <v>38</v>
      </c>
      <c r="B145" s="393" t="s">
        <v>154</v>
      </c>
      <c r="C145" s="393"/>
      <c r="D145" s="393"/>
      <c r="E145" s="393"/>
      <c r="F145" s="393"/>
      <c r="G145" s="393"/>
      <c r="H145" s="393"/>
      <c r="I145" s="219">
        <v>0</v>
      </c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spans="1:257" ht="14.25" customHeight="1" x14ac:dyDescent="0.3">
      <c r="A146" s="18" t="s">
        <v>40</v>
      </c>
      <c r="B146" s="359" t="s">
        <v>155</v>
      </c>
      <c r="C146" s="359"/>
      <c r="D146" s="359"/>
      <c r="E146" s="359"/>
      <c r="F146" s="359"/>
      <c r="G146" s="359"/>
      <c r="H146" s="359"/>
      <c r="I146" s="219">
        <v>0</v>
      </c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</row>
    <row r="147" spans="1:257" x14ac:dyDescent="0.3">
      <c r="A147" s="396" t="s">
        <v>75</v>
      </c>
      <c r="B147" s="396"/>
      <c r="C147" s="396"/>
      <c r="D147" s="396"/>
      <c r="E147" s="396"/>
      <c r="F147" s="396"/>
      <c r="G147" s="396"/>
      <c r="H147" s="396"/>
      <c r="I147" s="39">
        <f>TRUNC(SUM(I143:I146),2)</f>
        <v>456.85</v>
      </c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</row>
    <row r="148" spans="1:257" x14ac:dyDescent="0.3">
      <c r="A148" s="375"/>
      <c r="B148" s="375"/>
      <c r="C148" s="375"/>
      <c r="D148" s="375"/>
      <c r="E148" s="375"/>
      <c r="F148" s="375"/>
      <c r="G148" s="375"/>
      <c r="H148" s="375"/>
      <c r="I148" s="375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</row>
    <row r="149" spans="1:257" x14ac:dyDescent="0.3">
      <c r="A149" s="423"/>
      <c r="B149" s="423"/>
      <c r="C149" s="423"/>
      <c r="D149" s="423"/>
      <c r="E149" s="423"/>
      <c r="F149" s="423"/>
      <c r="G149" s="423"/>
      <c r="H149" s="423"/>
      <c r="I149" s="423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</row>
    <row r="150" spans="1:257" ht="18" x14ac:dyDescent="0.3">
      <c r="A150" s="58"/>
      <c r="B150" s="59"/>
      <c r="C150" s="59"/>
      <c r="D150" s="59"/>
      <c r="E150" s="59"/>
      <c r="F150" s="59"/>
      <c r="G150" s="59"/>
      <c r="H150" s="59"/>
      <c r="I150" s="60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</row>
    <row r="151" spans="1:257" ht="15.5" x14ac:dyDescent="0.3">
      <c r="A151" s="398" t="s">
        <v>156</v>
      </c>
      <c r="B151" s="398"/>
      <c r="C151" s="398"/>
      <c r="D151" s="398"/>
      <c r="E151" s="398"/>
      <c r="F151" s="398"/>
      <c r="G151" s="398"/>
      <c r="H151" s="398"/>
      <c r="I151" s="398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</row>
    <row r="152" spans="1:257" ht="28" x14ac:dyDescent="0.3">
      <c r="A152" s="35">
        <v>6</v>
      </c>
      <c r="B152" s="416" t="s">
        <v>157</v>
      </c>
      <c r="C152" s="416"/>
      <c r="D152" s="416"/>
      <c r="E152" s="416"/>
      <c r="F152" s="416"/>
      <c r="G152" s="416"/>
      <c r="H152" s="26" t="s">
        <v>84</v>
      </c>
      <c r="I152" s="61" t="s">
        <v>67</v>
      </c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</row>
    <row r="153" spans="1:257" ht="13.5" customHeight="1" x14ac:dyDescent="0.3">
      <c r="A153" s="394" t="s">
        <v>158</v>
      </c>
      <c r="B153" s="394"/>
      <c r="C153" s="394"/>
      <c r="D153" s="394"/>
      <c r="E153" s="394"/>
      <c r="F153" s="394"/>
      <c r="G153" s="394"/>
      <c r="H153" s="18" t="s">
        <v>164</v>
      </c>
      <c r="I153" s="16">
        <f>(I53+I104+I114+I139+I147)</f>
        <v>5346.7300000000005</v>
      </c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</row>
    <row r="154" spans="1:257" ht="15.5" x14ac:dyDescent="0.3">
      <c r="A154" s="62" t="s">
        <v>34</v>
      </c>
      <c r="B154" s="391" t="s">
        <v>159</v>
      </c>
      <c r="C154" s="391"/>
      <c r="D154" s="391"/>
      <c r="E154" s="391"/>
      <c r="F154" s="391"/>
      <c r="G154" s="391"/>
      <c r="H154" s="213">
        <f>'Inserir dados na planilha'!I57</f>
        <v>0.05</v>
      </c>
      <c r="I154" s="212">
        <f>ROUNDUP(H154*I153,2)</f>
        <v>267.33999999999997</v>
      </c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</row>
    <row r="155" spans="1:257" ht="13.5" customHeight="1" x14ac:dyDescent="0.3">
      <c r="A155" s="394" t="s">
        <v>160</v>
      </c>
      <c r="B155" s="394"/>
      <c r="C155" s="394"/>
      <c r="D155" s="394"/>
      <c r="E155" s="394"/>
      <c r="F155" s="394"/>
      <c r="G155" s="394"/>
      <c r="H155" s="257" t="s">
        <v>164</v>
      </c>
      <c r="I155" s="212">
        <f>(I53+I104+I114+I139+I147+I154)</f>
        <v>5614.0700000000006</v>
      </c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</row>
    <row r="156" spans="1:257" ht="15.5" x14ac:dyDescent="0.3">
      <c r="A156" s="62" t="s">
        <v>36</v>
      </c>
      <c r="B156" s="398" t="s">
        <v>161</v>
      </c>
      <c r="C156" s="398"/>
      <c r="D156" s="398"/>
      <c r="E156" s="398"/>
      <c r="F156" s="398"/>
      <c r="G156" s="398"/>
      <c r="H156" s="213">
        <f>'Inserir dados na planilha'!I58</f>
        <v>0.1</v>
      </c>
      <c r="I156" s="212">
        <f>ROUNDUP(H156*I155,2)</f>
        <v>561.41</v>
      </c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</row>
    <row r="157" spans="1:257" ht="13.5" customHeight="1" x14ac:dyDescent="0.3">
      <c r="A157" s="394" t="s">
        <v>162</v>
      </c>
      <c r="B157" s="394"/>
      <c r="C157" s="394"/>
      <c r="D157" s="394"/>
      <c r="E157" s="394"/>
      <c r="F157" s="394"/>
      <c r="G157" s="394"/>
      <c r="H157" s="266" t="s">
        <v>164</v>
      </c>
      <c r="I157" s="212">
        <f>(I53+I104+I114+I139+I147+I154+I156)</f>
        <v>6175.4800000000005</v>
      </c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</row>
    <row r="158" spans="1:257" ht="15.5" x14ac:dyDescent="0.3">
      <c r="A158" s="62" t="s">
        <v>38</v>
      </c>
      <c r="B158" s="398" t="s">
        <v>163</v>
      </c>
      <c r="C158" s="398"/>
      <c r="D158" s="398"/>
      <c r="E158" s="398"/>
      <c r="F158" s="398"/>
      <c r="G158" s="398"/>
      <c r="H158" s="266" t="s">
        <v>164</v>
      </c>
      <c r="I158" s="211" t="s">
        <v>164</v>
      </c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</row>
    <row r="159" spans="1:257" ht="15.5" x14ac:dyDescent="0.3">
      <c r="A159" s="18"/>
      <c r="B159" s="398" t="s">
        <v>165</v>
      </c>
      <c r="C159" s="398"/>
      <c r="D159" s="398"/>
      <c r="E159" s="398"/>
      <c r="F159" s="398"/>
      <c r="G159" s="398"/>
      <c r="H159" s="266" t="s">
        <v>164</v>
      </c>
      <c r="I159" s="211" t="s">
        <v>164</v>
      </c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</row>
    <row r="160" spans="1:257" ht="15.5" x14ac:dyDescent="0.3">
      <c r="A160" s="18"/>
      <c r="B160" s="391" t="s">
        <v>166</v>
      </c>
      <c r="C160" s="391"/>
      <c r="D160" s="391"/>
      <c r="E160" s="391"/>
      <c r="F160" s="391"/>
      <c r="G160" s="391"/>
      <c r="H160" s="213">
        <f>'Inserir dados na planilha'!I59</f>
        <v>0.03</v>
      </c>
      <c r="I160" s="212">
        <f>ROUNDUP(($I$157/(1-$H$167))*H160,2)</f>
        <v>202.81</v>
      </c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spans="1:257" ht="15.5" x14ac:dyDescent="0.3">
      <c r="A161" s="18"/>
      <c r="B161" s="391" t="s">
        <v>167</v>
      </c>
      <c r="C161" s="391"/>
      <c r="D161" s="391"/>
      <c r="E161" s="391"/>
      <c r="F161" s="391"/>
      <c r="G161" s="391"/>
      <c r="H161" s="213">
        <f>'Inserir dados na planilha'!I60</f>
        <v>6.4999999999999997E-3</v>
      </c>
      <c r="I161" s="212">
        <f>ROUNDUP(($I$157/(1-$H$167))*H161,2)</f>
        <v>43.949999999999996</v>
      </c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</row>
    <row r="162" spans="1:257" ht="14.25" customHeight="1" x14ac:dyDescent="0.3">
      <c r="A162" s="18"/>
      <c r="B162" s="389" t="s">
        <v>168</v>
      </c>
      <c r="C162" s="389"/>
      <c r="D162" s="389"/>
      <c r="E162" s="389"/>
      <c r="F162" s="389"/>
      <c r="G162" s="389"/>
      <c r="H162" s="20" t="s">
        <v>164</v>
      </c>
      <c r="I162" s="36" t="s">
        <v>164</v>
      </c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</row>
    <row r="163" spans="1:257" ht="17.25" customHeight="1" x14ac:dyDescent="0.3">
      <c r="A163" s="18"/>
      <c r="B163" s="391" t="s">
        <v>169</v>
      </c>
      <c r="C163" s="391"/>
      <c r="D163" s="391"/>
      <c r="E163" s="391"/>
      <c r="F163" s="391"/>
      <c r="G163" s="391"/>
      <c r="H163" s="20" t="s">
        <v>164</v>
      </c>
      <c r="I163" s="36" t="s">
        <v>164</v>
      </c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</row>
    <row r="164" spans="1:257" x14ac:dyDescent="0.3">
      <c r="A164" s="18"/>
      <c r="B164" s="359" t="s">
        <v>382</v>
      </c>
      <c r="C164" s="359"/>
      <c r="D164" s="359"/>
      <c r="E164" s="359"/>
      <c r="F164" s="359"/>
      <c r="G164" s="359"/>
      <c r="H164" s="213">
        <f>'Inserir dados na planilha'!I61</f>
        <v>0.05</v>
      </c>
      <c r="I164" s="16">
        <f>ROUNDUP(($I$157/(1-$H$167))*H164,2)</f>
        <v>338.02</v>
      </c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</row>
    <row r="165" spans="1:257" x14ac:dyDescent="0.3">
      <c r="A165" s="396" t="s">
        <v>75</v>
      </c>
      <c r="B165" s="396"/>
      <c r="C165" s="396"/>
      <c r="D165" s="396"/>
      <c r="E165" s="396"/>
      <c r="F165" s="396"/>
      <c r="G165" s="396"/>
      <c r="H165" s="396"/>
      <c r="I165" s="30">
        <f>SUM(I154+I156+I160+I161+I164)</f>
        <v>1413.53</v>
      </c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</row>
    <row r="166" spans="1:257" x14ac:dyDescent="0.3">
      <c r="A166" s="375"/>
      <c r="B166" s="375"/>
      <c r="C166" s="375"/>
      <c r="D166" s="375"/>
      <c r="E166" s="375"/>
      <c r="F166" s="375"/>
      <c r="G166" s="375"/>
      <c r="H166" s="375"/>
      <c r="I166" s="375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</row>
    <row r="167" spans="1:257" ht="14.25" customHeight="1" x14ac:dyDescent="0.3">
      <c r="A167" s="427" t="s">
        <v>170</v>
      </c>
      <c r="B167" s="427"/>
      <c r="C167" s="427"/>
      <c r="D167" s="427"/>
      <c r="E167" s="427"/>
      <c r="F167" s="427"/>
      <c r="G167" s="427"/>
      <c r="H167" s="28">
        <f>SUM(H160:H164)</f>
        <v>8.6499999999999994E-2</v>
      </c>
      <c r="I167" s="16">
        <f>SUM(I160:I164)</f>
        <v>584.78</v>
      </c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</row>
    <row r="168" spans="1:257" x14ac:dyDescent="0.3">
      <c r="A168" s="428" t="s">
        <v>171</v>
      </c>
      <c r="B168" s="428"/>
      <c r="C168" s="429" t="s">
        <v>172</v>
      </c>
      <c r="D168" s="429"/>
      <c r="E168" s="429"/>
      <c r="F168" s="429"/>
      <c r="G168" s="429"/>
      <c r="H168" s="429"/>
      <c r="I168" s="429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</row>
    <row r="169" spans="1:257" x14ac:dyDescent="0.3">
      <c r="A169" s="428"/>
      <c r="B169" s="428"/>
      <c r="C169" s="430" t="s">
        <v>173</v>
      </c>
      <c r="D169" s="430"/>
      <c r="E169" s="430"/>
      <c r="F169" s="430"/>
      <c r="G169" s="430"/>
      <c r="H169" s="430"/>
      <c r="I169" s="430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</row>
    <row r="170" spans="1:257" x14ac:dyDescent="0.3">
      <c r="A170" s="428"/>
      <c r="B170" s="428"/>
      <c r="C170" s="431" t="s">
        <v>174</v>
      </c>
      <c r="D170" s="431"/>
      <c r="E170" s="431"/>
      <c r="F170" s="431"/>
      <c r="G170" s="431"/>
      <c r="H170" s="431"/>
      <c r="I170" s="431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spans="1:257" x14ac:dyDescent="0.3">
      <c r="A171" s="433"/>
      <c r="B171" s="433"/>
      <c r="C171" s="433"/>
      <c r="D171" s="433"/>
      <c r="E171" s="433"/>
      <c r="F171" s="433"/>
      <c r="G171" s="433"/>
      <c r="H171" s="433"/>
      <c r="I171" s="433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spans="1:257" x14ac:dyDescent="0.3">
      <c r="A172" s="408"/>
      <c r="B172" s="408"/>
      <c r="C172" s="408"/>
      <c r="D172" s="408"/>
      <c r="E172" s="408"/>
      <c r="F172" s="408"/>
      <c r="G172" s="408"/>
      <c r="H172" s="408"/>
      <c r="I172" s="408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spans="1:257" x14ac:dyDescent="0.3">
      <c r="A173" s="375"/>
      <c r="B173" s="375"/>
      <c r="C173" s="375"/>
      <c r="D173" s="375"/>
      <c r="E173" s="375"/>
      <c r="F173" s="375"/>
      <c r="G173" s="375"/>
      <c r="H173" s="375"/>
      <c r="I173" s="375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spans="1:257" ht="39" customHeight="1" x14ac:dyDescent="0.3">
      <c r="A174" s="434" t="s">
        <v>175</v>
      </c>
      <c r="B174" s="434"/>
      <c r="C174" s="434"/>
      <c r="D174" s="434"/>
      <c r="E174" s="434"/>
      <c r="F174" s="434"/>
      <c r="G174" s="434"/>
      <c r="H174" s="434"/>
      <c r="I174" s="43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</row>
    <row r="175" spans="1:257" ht="24.75" customHeight="1" x14ac:dyDescent="0.3">
      <c r="A175" s="435" t="s">
        <v>176</v>
      </c>
      <c r="B175" s="435"/>
      <c r="C175" s="435"/>
      <c r="D175" s="435"/>
      <c r="E175" s="435"/>
      <c r="F175" s="435"/>
      <c r="G175" s="435"/>
      <c r="H175" s="435"/>
      <c r="I175" s="4" t="s">
        <v>85</v>
      </c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spans="1:257" ht="14.25" customHeight="1" x14ac:dyDescent="0.3">
      <c r="A176" s="63" t="s">
        <v>34</v>
      </c>
      <c r="B176" s="359" t="s">
        <v>177</v>
      </c>
      <c r="C176" s="359"/>
      <c r="D176" s="359"/>
      <c r="E176" s="359"/>
      <c r="F176" s="359"/>
      <c r="G176" s="359"/>
      <c r="H176" s="359"/>
      <c r="I176" s="37">
        <f>I53</f>
        <v>2284.36</v>
      </c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</row>
    <row r="177" spans="1:257" ht="14.25" customHeight="1" x14ac:dyDescent="0.3">
      <c r="A177" s="63" t="s">
        <v>36</v>
      </c>
      <c r="B177" s="359" t="s">
        <v>80</v>
      </c>
      <c r="C177" s="359"/>
      <c r="D177" s="359"/>
      <c r="E177" s="359"/>
      <c r="F177" s="359"/>
      <c r="G177" s="359"/>
      <c r="H177" s="359"/>
      <c r="I177" s="37">
        <f>I104</f>
        <v>2011.05</v>
      </c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spans="1:257" ht="14.25" customHeight="1" x14ac:dyDescent="0.3">
      <c r="A178" s="63" t="s">
        <v>38</v>
      </c>
      <c r="B178" s="359" t="s">
        <v>178</v>
      </c>
      <c r="C178" s="359"/>
      <c r="D178" s="359"/>
      <c r="E178" s="359"/>
      <c r="F178" s="359"/>
      <c r="G178" s="359"/>
      <c r="H178" s="359"/>
      <c r="I178" s="37">
        <f>I114</f>
        <v>175.22</v>
      </c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spans="1:257" ht="14.25" customHeight="1" x14ac:dyDescent="0.3">
      <c r="A179" s="63" t="s">
        <v>40</v>
      </c>
      <c r="B179" s="359" t="s">
        <v>179</v>
      </c>
      <c r="C179" s="359"/>
      <c r="D179" s="359"/>
      <c r="E179" s="359"/>
      <c r="F179" s="359"/>
      <c r="G179" s="359"/>
      <c r="H179" s="359"/>
      <c r="I179" s="37">
        <f>I139</f>
        <v>419.25</v>
      </c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</row>
    <row r="180" spans="1:257" ht="14.25" customHeight="1" x14ac:dyDescent="0.3">
      <c r="A180" s="63" t="s">
        <v>73</v>
      </c>
      <c r="B180" s="359" t="s">
        <v>180</v>
      </c>
      <c r="C180" s="359"/>
      <c r="D180" s="359"/>
      <c r="E180" s="359"/>
      <c r="F180" s="359"/>
      <c r="G180" s="359"/>
      <c r="H180" s="359"/>
      <c r="I180" s="37">
        <f>I147</f>
        <v>456.85</v>
      </c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spans="1:257" ht="14.25" customHeight="1" x14ac:dyDescent="0.3">
      <c r="A181" s="432" t="s">
        <v>181</v>
      </c>
      <c r="B181" s="432"/>
      <c r="C181" s="432"/>
      <c r="D181" s="432"/>
      <c r="E181" s="432"/>
      <c r="F181" s="432"/>
      <c r="G181" s="432"/>
      <c r="H181" s="432"/>
      <c r="I181" s="39">
        <f>TRUNC(SUM(I176:I180),2)</f>
        <v>5346.73</v>
      </c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spans="1:257" ht="14.25" customHeight="1" x14ac:dyDescent="0.3">
      <c r="A182" s="64" t="s">
        <v>76</v>
      </c>
      <c r="B182" s="367" t="s">
        <v>182</v>
      </c>
      <c r="C182" s="367"/>
      <c r="D182" s="367"/>
      <c r="E182" s="367"/>
      <c r="F182" s="367"/>
      <c r="G182" s="367"/>
      <c r="H182" s="367"/>
      <c r="I182" s="37">
        <f>I165</f>
        <v>1413.53</v>
      </c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spans="1:257" ht="14.25" customHeight="1" x14ac:dyDescent="0.3">
      <c r="A183" s="432" t="s">
        <v>183</v>
      </c>
      <c r="B183" s="432"/>
      <c r="C183" s="432"/>
      <c r="D183" s="432"/>
      <c r="E183" s="432"/>
      <c r="F183" s="432"/>
      <c r="G183" s="432"/>
      <c r="H183" s="432"/>
      <c r="I183" s="39">
        <f>TRUNC(SUM(I181:I182),2)</f>
        <v>6760.26</v>
      </c>
      <c r="J183" s="40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spans="1:257" ht="14.25" customHeight="1" x14ac:dyDescent="0.3">
      <c r="A184" s="432" t="s">
        <v>184</v>
      </c>
      <c r="B184" s="432"/>
      <c r="C184" s="432"/>
      <c r="D184" s="432"/>
      <c r="E184" s="432"/>
      <c r="F184" s="432"/>
      <c r="G184" s="432"/>
      <c r="H184" s="432"/>
      <c r="I184" s="65">
        <v>1</v>
      </c>
      <c r="J184" s="40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spans="1:257" ht="14.25" customHeight="1" x14ac:dyDescent="0.3">
      <c r="A185" s="432" t="s">
        <v>185</v>
      </c>
      <c r="B185" s="432"/>
      <c r="C185" s="432"/>
      <c r="D185" s="432"/>
      <c r="E185" s="432"/>
      <c r="F185" s="432"/>
      <c r="G185" s="432"/>
      <c r="H185" s="432"/>
      <c r="I185" s="39">
        <f>I183/H37</f>
        <v>6760.26</v>
      </c>
      <c r="J185" s="40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spans="1:257" ht="14.25" customHeight="1" x14ac:dyDescent="0.3">
      <c r="A186" s="432" t="s">
        <v>186</v>
      </c>
      <c r="B186" s="432"/>
      <c r="C186" s="432"/>
      <c r="D186" s="432"/>
      <c r="E186" s="432"/>
      <c r="F186" s="432"/>
      <c r="G186" s="432"/>
      <c r="H186" s="432"/>
      <c r="I186" s="65">
        <f>H37*I184</f>
        <v>1</v>
      </c>
      <c r="J186" s="40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spans="1:257" ht="14.25" customHeight="1" x14ac:dyDescent="0.3">
      <c r="A187" s="375"/>
      <c r="B187" s="375"/>
      <c r="C187" s="375"/>
      <c r="D187" s="375"/>
      <c r="E187" s="375"/>
      <c r="F187" s="375"/>
      <c r="G187" s="375"/>
      <c r="H187" s="375"/>
      <c r="I187" s="375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spans="1:257" ht="14.25" customHeight="1" x14ac:dyDescent="0.3">
      <c r="A188" s="432" t="s">
        <v>187</v>
      </c>
      <c r="B188" s="432"/>
      <c r="C188" s="432"/>
      <c r="D188" s="432"/>
      <c r="E188" s="432"/>
      <c r="F188" s="432"/>
      <c r="G188" s="432"/>
      <c r="H188" s="432"/>
      <c r="I188" s="37">
        <f>I183*I184</f>
        <v>6760.26</v>
      </c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spans="1:257" ht="14.25" customHeight="1" x14ac:dyDescent="0.3">
      <c r="A189" s="375"/>
      <c r="B189" s="375"/>
      <c r="C189" s="375"/>
      <c r="D189" s="375"/>
      <c r="E189" s="375"/>
      <c r="F189" s="375"/>
      <c r="G189" s="375"/>
      <c r="H189" s="375"/>
      <c r="I189" s="375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spans="1:257" ht="18.75" customHeight="1" x14ac:dyDescent="0.3">
      <c r="A190" s="437" t="s">
        <v>188</v>
      </c>
      <c r="B190" s="437"/>
      <c r="C190" s="437"/>
      <c r="D190" s="437"/>
      <c r="E190" s="437"/>
      <c r="F190" s="437"/>
      <c r="G190" s="441">
        <f>I188</f>
        <v>6760.26</v>
      </c>
      <c r="H190" s="441"/>
      <c r="I190" s="441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</row>
    <row r="191" spans="1:257" x14ac:dyDescent="0.3">
      <c r="A191" s="436"/>
      <c r="B191" s="436"/>
      <c r="C191" s="436"/>
      <c r="D191" s="436"/>
      <c r="E191" s="436"/>
      <c r="F191" s="436"/>
      <c r="G191" s="436"/>
      <c r="H191" s="436"/>
      <c r="I191" s="436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spans="1:257" ht="18.75" customHeight="1" x14ac:dyDescent="0.3">
      <c r="A192" s="437" t="s">
        <v>189</v>
      </c>
      <c r="B192" s="437"/>
      <c r="C192" s="437"/>
      <c r="D192" s="437"/>
      <c r="E192" s="437"/>
      <c r="F192" s="437"/>
      <c r="G192" s="438">
        <f>H9</f>
        <v>24</v>
      </c>
      <c r="H192" s="438"/>
      <c r="I192" s="438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</row>
    <row r="193" spans="1:257" ht="18.75" customHeight="1" x14ac:dyDescent="0.3">
      <c r="A193" s="436"/>
      <c r="B193" s="436"/>
      <c r="C193" s="436"/>
      <c r="D193" s="436"/>
      <c r="E193" s="436"/>
      <c r="F193" s="436"/>
      <c r="G193" s="436"/>
      <c r="H193" s="436"/>
      <c r="I193" s="436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</row>
    <row r="194" spans="1:257" ht="31.5" customHeight="1" x14ac:dyDescent="0.3">
      <c r="A194" s="439" t="s">
        <v>190</v>
      </c>
      <c r="B194" s="439"/>
      <c r="C194" s="439"/>
      <c r="D194" s="439"/>
      <c r="E194" s="439"/>
      <c r="F194" s="439"/>
      <c r="G194" s="440">
        <f>G190*G192</f>
        <v>162246.24</v>
      </c>
      <c r="H194" s="440"/>
      <c r="I194" s="440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</row>
    <row r="195" spans="1:257" ht="14.25" customHeight="1" x14ac:dyDescent="0.3">
      <c r="A195" s="375"/>
      <c r="B195" s="375"/>
      <c r="C195" s="375"/>
      <c r="D195" s="375"/>
      <c r="E195" s="375"/>
      <c r="F195" s="375"/>
      <c r="G195" s="375"/>
      <c r="H195" s="375"/>
      <c r="I195" s="375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</row>
  </sheetData>
  <sheetProtection algorithmName="SHA-512" hashValue="3gYup1czY3wc9/gYIZcOx/yssngQclguUJReJtVyBoSjJWVSig5XhaIJgl6KleriPuRdjXQfwVGXuWChYfbDoQ==" saltValue="b+cQlA+BwyPRTzMD5UtLWQ==" spinCount="100000" sheet="1" objects="1" scenarios="1"/>
  <mergeCells count="257">
    <mergeCell ref="A195:I195"/>
    <mergeCell ref="A191:I191"/>
    <mergeCell ref="A192:F192"/>
    <mergeCell ref="G192:I192"/>
    <mergeCell ref="A193:I193"/>
    <mergeCell ref="A194:F194"/>
    <mergeCell ref="G194:I194"/>
    <mergeCell ref="A183:H183"/>
    <mergeCell ref="A187:I187"/>
    <mergeCell ref="A188:H188"/>
    <mergeCell ref="A189:I189"/>
    <mergeCell ref="A190:F190"/>
    <mergeCell ref="G190:I190"/>
    <mergeCell ref="A184:H184"/>
    <mergeCell ref="A185:H185"/>
    <mergeCell ref="A186:H186"/>
    <mergeCell ref="B177:H177"/>
    <mergeCell ref="B178:H178"/>
    <mergeCell ref="B179:H179"/>
    <mergeCell ref="B180:H180"/>
    <mergeCell ref="A181:H181"/>
    <mergeCell ref="B182:H182"/>
    <mergeCell ref="A171:I171"/>
    <mergeCell ref="A172:I172"/>
    <mergeCell ref="A173:I173"/>
    <mergeCell ref="A174:I174"/>
    <mergeCell ref="A175:H175"/>
    <mergeCell ref="B176:H176"/>
    <mergeCell ref="B163:G163"/>
    <mergeCell ref="B164:G164"/>
    <mergeCell ref="A165:H165"/>
    <mergeCell ref="A166:I166"/>
    <mergeCell ref="A167:G167"/>
    <mergeCell ref="A168:B170"/>
    <mergeCell ref="C168:I168"/>
    <mergeCell ref="C169:I169"/>
    <mergeCell ref="C170:I170"/>
    <mergeCell ref="A157:G157"/>
    <mergeCell ref="B158:G158"/>
    <mergeCell ref="B159:G159"/>
    <mergeCell ref="B160:G160"/>
    <mergeCell ref="B161:G161"/>
    <mergeCell ref="B162:G162"/>
    <mergeCell ref="A151:I151"/>
    <mergeCell ref="B152:G152"/>
    <mergeCell ref="A153:G153"/>
    <mergeCell ref="B154:G154"/>
    <mergeCell ref="A155:G155"/>
    <mergeCell ref="B156:G156"/>
    <mergeCell ref="B144:H144"/>
    <mergeCell ref="B145:H145"/>
    <mergeCell ref="B146:H146"/>
    <mergeCell ref="A147:H147"/>
    <mergeCell ref="A148:I148"/>
    <mergeCell ref="A149:I149"/>
    <mergeCell ref="B138:H138"/>
    <mergeCell ref="A139:H139"/>
    <mergeCell ref="A140:I140"/>
    <mergeCell ref="A141:I141"/>
    <mergeCell ref="B142:G142"/>
    <mergeCell ref="B143:G143"/>
    <mergeCell ref="B132:H132"/>
    <mergeCell ref="A133:H133"/>
    <mergeCell ref="A134:I134"/>
    <mergeCell ref="A135:I135"/>
    <mergeCell ref="B136:H136"/>
    <mergeCell ref="B137:H137"/>
    <mergeCell ref="B126:G126"/>
    <mergeCell ref="B127:G127"/>
    <mergeCell ref="A128:H128"/>
    <mergeCell ref="A129:I129"/>
    <mergeCell ref="A130:I130"/>
    <mergeCell ref="B131:H131"/>
    <mergeCell ref="B120:G120"/>
    <mergeCell ref="B121:G121"/>
    <mergeCell ref="B122:G122"/>
    <mergeCell ref="B123:G123"/>
    <mergeCell ref="B124:G124"/>
    <mergeCell ref="B125:G125"/>
    <mergeCell ref="B113:G113"/>
    <mergeCell ref="A114:H114"/>
    <mergeCell ref="A115:I115"/>
    <mergeCell ref="A116:I116"/>
    <mergeCell ref="A117:I117"/>
    <mergeCell ref="A119:I119"/>
    <mergeCell ref="B107:G107"/>
    <mergeCell ref="B108:G108"/>
    <mergeCell ref="B109:G109"/>
    <mergeCell ref="B110:G110"/>
    <mergeCell ref="B111:G111"/>
    <mergeCell ref="B112:G112"/>
    <mergeCell ref="B101:H101"/>
    <mergeCell ref="B102:H102"/>
    <mergeCell ref="B103:H103"/>
    <mergeCell ref="A104:H104"/>
    <mergeCell ref="A105:I105"/>
    <mergeCell ref="A106:I106"/>
    <mergeCell ref="B95:H95"/>
    <mergeCell ref="A96:I96"/>
    <mergeCell ref="A97:I97"/>
    <mergeCell ref="A98:I98"/>
    <mergeCell ref="A99:I99"/>
    <mergeCell ref="B100:H100"/>
    <mergeCell ref="B89:G89"/>
    <mergeCell ref="B91:G91"/>
    <mergeCell ref="B92:G92"/>
    <mergeCell ref="B90:F90"/>
    <mergeCell ref="B93:G93"/>
    <mergeCell ref="B94:G94"/>
    <mergeCell ref="B83:G83"/>
    <mergeCell ref="B84:G84"/>
    <mergeCell ref="B85:G85"/>
    <mergeCell ref="B86:G86"/>
    <mergeCell ref="B87:H87"/>
    <mergeCell ref="B88:G88"/>
    <mergeCell ref="A76:G76"/>
    <mergeCell ref="A78:I78"/>
    <mergeCell ref="A79:I79"/>
    <mergeCell ref="A80:I80"/>
    <mergeCell ref="B81:H81"/>
    <mergeCell ref="B82:H82"/>
    <mergeCell ref="B70:C70"/>
    <mergeCell ref="B71:G71"/>
    <mergeCell ref="B72:G72"/>
    <mergeCell ref="B73:G73"/>
    <mergeCell ref="B74:G74"/>
    <mergeCell ref="B75:G75"/>
    <mergeCell ref="A64:I64"/>
    <mergeCell ref="A65:I65"/>
    <mergeCell ref="A66:I66"/>
    <mergeCell ref="B67:G67"/>
    <mergeCell ref="B68:G68"/>
    <mergeCell ref="B69:G69"/>
    <mergeCell ref="A58:I58"/>
    <mergeCell ref="B59:G59"/>
    <mergeCell ref="B60:G60"/>
    <mergeCell ref="B61:G61"/>
    <mergeCell ref="A62:H62"/>
    <mergeCell ref="A63:I63"/>
    <mergeCell ref="A52:I52"/>
    <mergeCell ref="A53:H53"/>
    <mergeCell ref="A54:I54"/>
    <mergeCell ref="A55:I55"/>
    <mergeCell ref="A56:I56"/>
    <mergeCell ref="A57:I57"/>
    <mergeCell ref="B46:G46"/>
    <mergeCell ref="B47:H47"/>
    <mergeCell ref="A48:H48"/>
    <mergeCell ref="A49:I49"/>
    <mergeCell ref="B50:H50"/>
    <mergeCell ref="A51:H51"/>
    <mergeCell ref="A40:I40"/>
    <mergeCell ref="A41:I41"/>
    <mergeCell ref="B42:G42"/>
    <mergeCell ref="B43:G43"/>
    <mergeCell ref="B44:G44"/>
    <mergeCell ref="B45:G45"/>
    <mergeCell ref="B36:G36"/>
    <mergeCell ref="H36:I36"/>
    <mergeCell ref="B37:G37"/>
    <mergeCell ref="H37:I37"/>
    <mergeCell ref="A38:I38"/>
    <mergeCell ref="A39:I39"/>
    <mergeCell ref="B33:G33"/>
    <mergeCell ref="H33:I33"/>
    <mergeCell ref="B34:G34"/>
    <mergeCell ref="H34:I34"/>
    <mergeCell ref="B35:G35"/>
    <mergeCell ref="H35:I35"/>
    <mergeCell ref="B30:G30"/>
    <mergeCell ref="H30:I30"/>
    <mergeCell ref="B31:G31"/>
    <mergeCell ref="H31:I31"/>
    <mergeCell ref="B32:G32"/>
    <mergeCell ref="H32:I32"/>
    <mergeCell ref="B27:G27"/>
    <mergeCell ref="H27:I27"/>
    <mergeCell ref="B28:G28"/>
    <mergeCell ref="H28:I28"/>
    <mergeCell ref="B29:G29"/>
    <mergeCell ref="H29:I29"/>
    <mergeCell ref="B24:F24"/>
    <mergeCell ref="H24:I24"/>
    <mergeCell ref="B25:G25"/>
    <mergeCell ref="H25:I25"/>
    <mergeCell ref="B26:G26"/>
    <mergeCell ref="H26:I26"/>
    <mergeCell ref="IO20:IV20"/>
    <mergeCell ref="B21:G21"/>
    <mergeCell ref="H21:I21"/>
    <mergeCell ref="B22:G22"/>
    <mergeCell ref="H22:I22"/>
    <mergeCell ref="B23:G23"/>
    <mergeCell ref="H23:I23"/>
    <mergeCell ref="GS20:GZ20"/>
    <mergeCell ref="HA20:HH20"/>
    <mergeCell ref="HI20:HP20"/>
    <mergeCell ref="HQ20:HX20"/>
    <mergeCell ref="HY20:IF20"/>
    <mergeCell ref="IG20:IN20"/>
    <mergeCell ref="EW20:FD20"/>
    <mergeCell ref="FE20:FL20"/>
    <mergeCell ref="FM20:FT20"/>
    <mergeCell ref="FU20:GB20"/>
    <mergeCell ref="GC20:GJ20"/>
    <mergeCell ref="GK20:GR20"/>
    <mergeCell ref="DA20:DH20"/>
    <mergeCell ref="DI20:DP20"/>
    <mergeCell ref="DQ20:DX20"/>
    <mergeCell ref="DY20:EF20"/>
    <mergeCell ref="EG20:EN20"/>
    <mergeCell ref="EO20:EV20"/>
    <mergeCell ref="BE20:BL20"/>
    <mergeCell ref="BM20:BT20"/>
    <mergeCell ref="BU20:CB20"/>
    <mergeCell ref="CC20:CJ20"/>
    <mergeCell ref="CK20:CR20"/>
    <mergeCell ref="CS20:CZ20"/>
    <mergeCell ref="J20:P20"/>
    <mergeCell ref="Q20:X20"/>
    <mergeCell ref="Y20:AF20"/>
    <mergeCell ref="AG20:AN20"/>
    <mergeCell ref="AO20:AV20"/>
    <mergeCell ref="AW20:BD20"/>
    <mergeCell ref="A16:I16"/>
    <mergeCell ref="A17:I17"/>
    <mergeCell ref="A18:I18"/>
    <mergeCell ref="B19:G19"/>
    <mergeCell ref="H19:I19"/>
    <mergeCell ref="B20:G20"/>
    <mergeCell ref="H20:I20"/>
    <mergeCell ref="A12:E12"/>
    <mergeCell ref="F12:G12"/>
    <mergeCell ref="H12:I12"/>
    <mergeCell ref="A13:I13"/>
    <mergeCell ref="A14:I14"/>
    <mergeCell ref="A15:I15"/>
    <mergeCell ref="B9:G9"/>
    <mergeCell ref="H9:I9"/>
    <mergeCell ref="A10:I10"/>
    <mergeCell ref="A11:E11"/>
    <mergeCell ref="F11:G11"/>
    <mergeCell ref="H11:I11"/>
    <mergeCell ref="A5:I5"/>
    <mergeCell ref="B6:G6"/>
    <mergeCell ref="H6:I6"/>
    <mergeCell ref="B7:G7"/>
    <mergeCell ref="H7:I7"/>
    <mergeCell ref="B8:G8"/>
    <mergeCell ref="H8:I8"/>
    <mergeCell ref="A1:I1"/>
    <mergeCell ref="A2:E2"/>
    <mergeCell ref="F2:I2"/>
    <mergeCell ref="A3:E3"/>
    <mergeCell ref="F3:I3"/>
    <mergeCell ref="A4:E4"/>
    <mergeCell ref="F4:I4"/>
  </mergeCells>
  <pageMargins left="0.78740157480314965" right="0.78740157480314965" top="0.78740157480314965" bottom="0.78740157480314965" header="0.78740157480314965" footer="0.78740157480314965"/>
  <pageSetup paperSize="9" scale="80" orientation="portrait" horizontalDpi="300" verticalDpi="300" r:id="rId1"/>
  <headerFooter>
    <oddHeader>&amp;L&amp;A&amp;C&amp;"Times New Roman,Normal"&amp;12&amp;KFFFFFF&amp;A</oddHeader>
    <oddFooter>&amp;C&amp;"Times New Roman,Normal"&amp;12&amp;KffffffPágina &amp;P</oddFooter>
  </headerFooter>
  <rowBreaks count="3" manualBreakCount="3">
    <brk id="40" max="8" man="1"/>
    <brk id="79" max="8" man="1"/>
    <brk id="134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E6B70-7127-41C5-847C-255B21DB4FC7}">
  <dimension ref="A1:IW195"/>
  <sheetViews>
    <sheetView topLeftCell="A77" workbookViewId="0">
      <selection activeCell="I84" sqref="I84"/>
    </sheetView>
  </sheetViews>
  <sheetFormatPr defaultColWidth="10.5" defaultRowHeight="14" x14ac:dyDescent="0.3"/>
  <cols>
    <col min="1" max="1" width="7.83203125" customWidth="1"/>
    <col min="2" max="2" width="9.08203125" customWidth="1"/>
    <col min="3" max="3" width="8" customWidth="1"/>
    <col min="4" max="4" width="13.08203125" customWidth="1"/>
    <col min="5" max="6" width="8" customWidth="1"/>
    <col min="7" max="7" width="10.5" customWidth="1"/>
    <col min="8" max="8" width="10.33203125" customWidth="1"/>
    <col min="9" max="9" width="9.4140625" customWidth="1"/>
    <col min="10" max="10" width="9.83203125" customWidth="1"/>
    <col min="11" max="257" width="8" customWidth="1"/>
  </cols>
  <sheetData>
    <row r="1" spans="1:257" ht="70.5" customHeight="1" x14ac:dyDescent="0.3">
      <c r="A1" s="364" t="s">
        <v>30</v>
      </c>
      <c r="B1" s="364"/>
      <c r="C1" s="364"/>
      <c r="D1" s="364"/>
      <c r="E1" s="364"/>
      <c r="F1" s="364"/>
      <c r="G1" s="364"/>
      <c r="H1" s="364"/>
      <c r="I1" s="36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spans="1:257" ht="14.25" customHeight="1" x14ac:dyDescent="0.3">
      <c r="A2" s="359" t="s">
        <v>31</v>
      </c>
      <c r="B2" s="359"/>
      <c r="C2" s="359"/>
      <c r="D2" s="359"/>
      <c r="E2" s="359"/>
      <c r="F2" s="362" t="str">
        <f>'Inserir dados na planilha'!E4</f>
        <v>13075.141464/2025-18</v>
      </c>
      <c r="G2" s="363"/>
      <c r="H2" s="363"/>
      <c r="I2" s="36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</row>
    <row r="3" spans="1:257" ht="17.25" customHeight="1" x14ac:dyDescent="0.3">
      <c r="A3" s="359" t="s">
        <v>32</v>
      </c>
      <c r="B3" s="359"/>
      <c r="C3" s="359"/>
      <c r="D3" s="359"/>
      <c r="E3" s="359"/>
      <c r="F3" s="362" t="str">
        <f>'Inserir dados na planilha'!E5</f>
        <v>170040/90001/2026</v>
      </c>
      <c r="G3" s="363"/>
      <c r="H3" s="363"/>
      <c r="I3" s="36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</row>
    <row r="4" spans="1:257" ht="16.5" customHeight="1" x14ac:dyDescent="0.3">
      <c r="A4" s="365" t="s">
        <v>456</v>
      </c>
      <c r="B4" s="366"/>
      <c r="C4" s="366"/>
      <c r="D4" s="366"/>
      <c r="E4" s="367"/>
      <c r="F4" s="368" t="str">
        <f>'Inserir dados na planilha'!E6</f>
        <v>*****</v>
      </c>
      <c r="G4" s="369"/>
      <c r="H4" s="369"/>
      <c r="I4" s="370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</row>
    <row r="5" spans="1:257" ht="18.75" customHeight="1" x14ac:dyDescent="0.3">
      <c r="A5" s="358" t="s">
        <v>33</v>
      </c>
      <c r="B5" s="358"/>
      <c r="C5" s="358"/>
      <c r="D5" s="358"/>
      <c r="E5" s="358"/>
      <c r="F5" s="358"/>
      <c r="G5" s="358"/>
      <c r="H5" s="358"/>
      <c r="I5" s="35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spans="1:257" ht="14.25" customHeight="1" x14ac:dyDescent="0.3">
      <c r="A6" s="217" t="s">
        <v>34</v>
      </c>
      <c r="B6" s="359" t="s">
        <v>35</v>
      </c>
      <c r="C6" s="359"/>
      <c r="D6" s="359"/>
      <c r="E6" s="359"/>
      <c r="F6" s="359"/>
      <c r="G6" s="359"/>
      <c r="H6" s="360" t="str">
        <f>'Inserir dados na planilha'!E11</f>
        <v>****</v>
      </c>
      <c r="I6" s="36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spans="1:257" ht="14.25" customHeight="1" x14ac:dyDescent="0.3">
      <c r="A7" s="198" t="s">
        <v>36</v>
      </c>
      <c r="B7" s="359" t="s">
        <v>37</v>
      </c>
      <c r="C7" s="359"/>
      <c r="D7" s="359"/>
      <c r="E7" s="359"/>
      <c r="F7" s="359"/>
      <c r="G7" s="359"/>
      <c r="H7" s="361" t="s">
        <v>380</v>
      </c>
      <c r="I7" s="36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</row>
    <row r="8" spans="1:257" ht="14" customHeight="1" x14ac:dyDescent="0.3">
      <c r="A8" s="217" t="s">
        <v>38</v>
      </c>
      <c r="B8" s="365" t="s">
        <v>39</v>
      </c>
      <c r="C8" s="366"/>
      <c r="D8" s="366"/>
      <c r="E8" s="366"/>
      <c r="F8" s="366"/>
      <c r="G8" s="367"/>
      <c r="H8" s="476" t="str">
        <f>'Inserir dados na planilha'!E9</f>
        <v>PI000015/2025</v>
      </c>
      <c r="I8" s="47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</row>
    <row r="9" spans="1:257" ht="14.25" customHeight="1" x14ac:dyDescent="0.3">
      <c r="A9" s="217" t="s">
        <v>40</v>
      </c>
      <c r="B9" s="365" t="s">
        <v>41</v>
      </c>
      <c r="C9" s="366"/>
      <c r="D9" s="366"/>
      <c r="E9" s="366"/>
      <c r="F9" s="366"/>
      <c r="G9" s="367"/>
      <c r="H9" s="468">
        <f>'Inserir dados na planilha'!E15</f>
        <v>24</v>
      </c>
      <c r="I9" s="46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</row>
    <row r="10" spans="1:257" ht="14.25" customHeight="1" x14ac:dyDescent="0.3">
      <c r="A10" s="470" t="s">
        <v>42</v>
      </c>
      <c r="B10" s="471"/>
      <c r="C10" s="471"/>
      <c r="D10" s="471"/>
      <c r="E10" s="471"/>
      <c r="F10" s="471"/>
      <c r="G10" s="471"/>
      <c r="H10" s="471"/>
      <c r="I10" s="47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</row>
    <row r="11" spans="1:257" ht="39" customHeight="1" x14ac:dyDescent="0.3">
      <c r="A11" s="473" t="s">
        <v>43</v>
      </c>
      <c r="B11" s="474"/>
      <c r="C11" s="474"/>
      <c r="D11" s="474"/>
      <c r="E11" s="475"/>
      <c r="F11" s="473" t="s">
        <v>44</v>
      </c>
      <c r="G11" s="475"/>
      <c r="H11" s="473" t="s">
        <v>45</v>
      </c>
      <c r="I11" s="47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</row>
    <row r="12" spans="1:257" ht="14.25" customHeight="1" x14ac:dyDescent="0.3">
      <c r="A12" s="461" t="str">
        <f>'Inserir dados na planilha'!E13</f>
        <v>Vigilância e segurança armada</v>
      </c>
      <c r="B12" s="462"/>
      <c r="C12" s="462"/>
      <c r="D12" s="462"/>
      <c r="E12" s="463"/>
      <c r="F12" s="464" t="str">
        <f>'Inserir dados na planilha'!E16</f>
        <v>Posto de Serviço</v>
      </c>
      <c r="G12" s="465"/>
      <c r="H12" s="466">
        <v>1</v>
      </c>
      <c r="I12" s="46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</row>
    <row r="13" spans="1:257" ht="14.25" customHeight="1" x14ac:dyDescent="0.3">
      <c r="A13" s="375"/>
      <c r="B13" s="375"/>
      <c r="C13" s="375"/>
      <c r="D13" s="375"/>
      <c r="E13" s="375"/>
      <c r="F13" s="375"/>
      <c r="G13" s="375"/>
      <c r="H13" s="375"/>
      <c r="I13" s="37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</row>
    <row r="14" spans="1:257" x14ac:dyDescent="0.3">
      <c r="A14" s="376"/>
      <c r="B14" s="376"/>
      <c r="C14" s="376"/>
      <c r="D14" s="376"/>
      <c r="E14" s="376"/>
      <c r="F14" s="376"/>
      <c r="G14" s="376"/>
      <c r="H14" s="376"/>
      <c r="I14" s="37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 x14ac:dyDescent="0.3">
      <c r="A15" s="375"/>
      <c r="B15" s="375"/>
      <c r="C15" s="375"/>
      <c r="D15" s="375"/>
      <c r="E15" s="375"/>
      <c r="F15" s="375"/>
      <c r="G15" s="375"/>
      <c r="H15" s="375"/>
      <c r="I15" s="375"/>
      <c r="J15" s="5"/>
      <c r="K15" s="6"/>
      <c r="L15" s="7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6" spans="1:257" ht="48.75" customHeight="1" x14ac:dyDescent="0.3">
      <c r="A16" s="380" t="s">
        <v>46</v>
      </c>
      <c r="B16" s="380"/>
      <c r="C16" s="380"/>
      <c r="D16" s="380"/>
      <c r="E16" s="380"/>
      <c r="F16" s="380"/>
      <c r="G16" s="380"/>
      <c r="H16" s="380"/>
      <c r="I16" s="380"/>
      <c r="J16" s="5"/>
      <c r="K16" s="6"/>
      <c r="L16" s="7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spans="1:257" ht="14.25" customHeight="1" x14ac:dyDescent="0.3">
      <c r="A17" s="375"/>
      <c r="B17" s="375"/>
      <c r="C17" s="375"/>
      <c r="D17" s="375"/>
      <c r="E17" s="375"/>
      <c r="F17" s="375"/>
      <c r="G17" s="375"/>
      <c r="H17" s="375"/>
      <c r="I17" s="375"/>
      <c r="J17" s="5"/>
      <c r="K17" s="6"/>
      <c r="L17" s="7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1:257" ht="14.25" customHeight="1" x14ac:dyDescent="0.3">
      <c r="A18" s="358" t="s">
        <v>47</v>
      </c>
      <c r="B18" s="358"/>
      <c r="C18" s="358"/>
      <c r="D18" s="358"/>
      <c r="E18" s="358"/>
      <c r="F18" s="358"/>
      <c r="G18" s="358"/>
      <c r="H18" s="358"/>
      <c r="I18" s="358"/>
      <c r="J18" s="5"/>
      <c r="K18" s="6"/>
      <c r="L18" s="7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spans="1:257" ht="24" customHeight="1" x14ac:dyDescent="0.3">
      <c r="A19" s="198">
        <v>1</v>
      </c>
      <c r="B19" s="359" t="s">
        <v>48</v>
      </c>
      <c r="C19" s="359"/>
      <c r="D19" s="359"/>
      <c r="E19" s="359"/>
      <c r="F19" s="359"/>
      <c r="G19" s="359"/>
      <c r="H19" s="457" t="str">
        <f>A12</f>
        <v>Vigilância e segurança armada</v>
      </c>
      <c r="I19" s="458"/>
      <c r="J19" s="5"/>
      <c r="K19" s="6"/>
      <c r="L19" s="7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spans="1:257" ht="18.75" customHeight="1" x14ac:dyDescent="0.3">
      <c r="A20" s="198">
        <v>2</v>
      </c>
      <c r="B20" s="359" t="s">
        <v>49</v>
      </c>
      <c r="C20" s="359"/>
      <c r="D20" s="359"/>
      <c r="E20" s="359"/>
      <c r="F20" s="359"/>
      <c r="G20" s="359"/>
      <c r="H20" s="459" t="str">
        <f>'Inserir dados na planilha'!G12</f>
        <v>5173-30</v>
      </c>
      <c r="I20" s="460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379"/>
      <c r="AU20" s="379"/>
      <c r="AV20" s="379"/>
      <c r="AW20" s="379"/>
      <c r="AX20" s="379"/>
      <c r="AY20" s="379"/>
      <c r="AZ20" s="379"/>
      <c r="BA20" s="379"/>
      <c r="BB20" s="379"/>
      <c r="BC20" s="379"/>
      <c r="BD20" s="379"/>
      <c r="BE20" s="379"/>
      <c r="BF20" s="379"/>
      <c r="BG20" s="379"/>
      <c r="BH20" s="379"/>
      <c r="BI20" s="379"/>
      <c r="BJ20" s="379"/>
      <c r="BK20" s="379"/>
      <c r="BL20" s="379"/>
      <c r="BM20" s="379"/>
      <c r="BN20" s="379"/>
      <c r="BO20" s="379"/>
      <c r="BP20" s="379"/>
      <c r="BQ20" s="379"/>
      <c r="BR20" s="379"/>
      <c r="BS20" s="379"/>
      <c r="BT20" s="379"/>
      <c r="BU20" s="379"/>
      <c r="BV20" s="379"/>
      <c r="BW20" s="379"/>
      <c r="BX20" s="379"/>
      <c r="BY20" s="379"/>
      <c r="BZ20" s="379"/>
      <c r="CA20" s="379"/>
      <c r="CB20" s="379"/>
      <c r="CC20" s="379"/>
      <c r="CD20" s="379"/>
      <c r="CE20" s="379"/>
      <c r="CF20" s="379"/>
      <c r="CG20" s="379"/>
      <c r="CH20" s="379"/>
      <c r="CI20" s="379"/>
      <c r="CJ20" s="379"/>
      <c r="CK20" s="379"/>
      <c r="CL20" s="379"/>
      <c r="CM20" s="379"/>
      <c r="CN20" s="379"/>
      <c r="CO20" s="379"/>
      <c r="CP20" s="379"/>
      <c r="CQ20" s="379"/>
      <c r="CR20" s="379"/>
      <c r="CS20" s="379"/>
      <c r="CT20" s="379"/>
      <c r="CU20" s="379"/>
      <c r="CV20" s="379"/>
      <c r="CW20" s="379"/>
      <c r="CX20" s="379"/>
      <c r="CY20" s="379"/>
      <c r="CZ20" s="379"/>
      <c r="DA20" s="379"/>
      <c r="DB20" s="379"/>
      <c r="DC20" s="379"/>
      <c r="DD20" s="379"/>
      <c r="DE20" s="379"/>
      <c r="DF20" s="379"/>
      <c r="DG20" s="379"/>
      <c r="DH20" s="379"/>
      <c r="DI20" s="379"/>
      <c r="DJ20" s="379"/>
      <c r="DK20" s="379"/>
      <c r="DL20" s="379"/>
      <c r="DM20" s="379"/>
      <c r="DN20" s="379"/>
      <c r="DO20" s="379"/>
      <c r="DP20" s="379"/>
      <c r="DQ20" s="379"/>
      <c r="DR20" s="379"/>
      <c r="DS20" s="379"/>
      <c r="DT20" s="379"/>
      <c r="DU20" s="379"/>
      <c r="DV20" s="379"/>
      <c r="DW20" s="379"/>
      <c r="DX20" s="379"/>
      <c r="DY20" s="379"/>
      <c r="DZ20" s="379"/>
      <c r="EA20" s="379"/>
      <c r="EB20" s="379"/>
      <c r="EC20" s="379"/>
      <c r="ED20" s="379"/>
      <c r="EE20" s="379"/>
      <c r="EF20" s="379"/>
      <c r="EG20" s="379"/>
      <c r="EH20" s="379"/>
      <c r="EI20" s="379"/>
      <c r="EJ20" s="379"/>
      <c r="EK20" s="379"/>
      <c r="EL20" s="379"/>
      <c r="EM20" s="379"/>
      <c r="EN20" s="379"/>
      <c r="EO20" s="379"/>
      <c r="EP20" s="379"/>
      <c r="EQ20" s="379"/>
      <c r="ER20" s="379"/>
      <c r="ES20" s="379"/>
      <c r="ET20" s="379"/>
      <c r="EU20" s="379"/>
      <c r="EV20" s="379"/>
      <c r="EW20" s="379"/>
      <c r="EX20" s="379"/>
      <c r="EY20" s="379"/>
      <c r="EZ20" s="379"/>
      <c r="FA20" s="379"/>
      <c r="FB20" s="379"/>
      <c r="FC20" s="379"/>
      <c r="FD20" s="379"/>
      <c r="FE20" s="379"/>
      <c r="FF20" s="379"/>
      <c r="FG20" s="379"/>
      <c r="FH20" s="379"/>
      <c r="FI20" s="379"/>
      <c r="FJ20" s="379"/>
      <c r="FK20" s="379"/>
      <c r="FL20" s="379"/>
      <c r="FM20" s="379"/>
      <c r="FN20" s="379"/>
      <c r="FO20" s="379"/>
      <c r="FP20" s="379"/>
      <c r="FQ20" s="379"/>
      <c r="FR20" s="379"/>
      <c r="FS20" s="379"/>
      <c r="FT20" s="379"/>
      <c r="FU20" s="379"/>
      <c r="FV20" s="379"/>
      <c r="FW20" s="379"/>
      <c r="FX20" s="379"/>
      <c r="FY20" s="379"/>
      <c r="FZ20" s="379"/>
      <c r="GA20" s="379"/>
      <c r="GB20" s="379"/>
      <c r="GC20" s="379"/>
      <c r="GD20" s="379"/>
      <c r="GE20" s="379"/>
      <c r="GF20" s="379"/>
      <c r="GG20" s="379"/>
      <c r="GH20" s="379"/>
      <c r="GI20" s="379"/>
      <c r="GJ20" s="379"/>
      <c r="GK20" s="379"/>
      <c r="GL20" s="379"/>
      <c r="GM20" s="379"/>
      <c r="GN20" s="379"/>
      <c r="GO20" s="379"/>
      <c r="GP20" s="379"/>
      <c r="GQ20" s="379"/>
      <c r="GR20" s="379"/>
      <c r="GS20" s="379"/>
      <c r="GT20" s="379"/>
      <c r="GU20" s="379"/>
      <c r="GV20" s="379"/>
      <c r="GW20" s="379"/>
      <c r="GX20" s="379"/>
      <c r="GY20" s="379"/>
      <c r="GZ20" s="379"/>
      <c r="HA20" s="379"/>
      <c r="HB20" s="379"/>
      <c r="HC20" s="379"/>
      <c r="HD20" s="379"/>
      <c r="HE20" s="379"/>
      <c r="HF20" s="379"/>
      <c r="HG20" s="379"/>
      <c r="HH20" s="379"/>
      <c r="HI20" s="379"/>
      <c r="HJ20" s="379"/>
      <c r="HK20" s="379"/>
      <c r="HL20" s="379"/>
      <c r="HM20" s="379"/>
      <c r="HN20" s="379"/>
      <c r="HO20" s="379"/>
      <c r="HP20" s="379"/>
      <c r="HQ20" s="379"/>
      <c r="HR20" s="379"/>
      <c r="HS20" s="379"/>
      <c r="HT20" s="379"/>
      <c r="HU20" s="379"/>
      <c r="HV20" s="379"/>
      <c r="HW20" s="379"/>
      <c r="HX20" s="379"/>
      <c r="HY20" s="379"/>
      <c r="HZ20" s="379"/>
      <c r="IA20" s="379"/>
      <c r="IB20" s="379"/>
      <c r="IC20" s="379"/>
      <c r="ID20" s="379"/>
      <c r="IE20" s="379"/>
      <c r="IF20" s="379"/>
      <c r="IG20" s="379"/>
      <c r="IH20" s="379"/>
      <c r="II20" s="379"/>
      <c r="IJ20" s="379"/>
      <c r="IK20" s="379"/>
      <c r="IL20" s="379"/>
      <c r="IM20" s="379"/>
      <c r="IN20" s="379"/>
      <c r="IO20" s="379"/>
      <c r="IP20" s="379"/>
      <c r="IQ20" s="379"/>
      <c r="IR20" s="379"/>
      <c r="IS20" s="379"/>
      <c r="IT20" s="379"/>
      <c r="IU20" s="379"/>
      <c r="IV20" s="379"/>
      <c r="IW20" s="8"/>
    </row>
    <row r="21" spans="1:257" ht="24" customHeight="1" x14ac:dyDescent="0.3">
      <c r="A21" s="198">
        <v>3</v>
      </c>
      <c r="B21" s="359" t="s">
        <v>50</v>
      </c>
      <c r="C21" s="359"/>
      <c r="D21" s="359"/>
      <c r="E21" s="359"/>
      <c r="F21" s="359"/>
      <c r="G21" s="359"/>
      <c r="H21" s="451">
        <f>'Inserir dados na planilha'!I20</f>
        <v>1757.2</v>
      </c>
      <c r="I21" s="45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</row>
    <row r="22" spans="1:257" ht="25.5" customHeight="1" x14ac:dyDescent="0.3">
      <c r="A22" s="198">
        <v>4</v>
      </c>
      <c r="B22" s="359" t="s">
        <v>51</v>
      </c>
      <c r="C22" s="359"/>
      <c r="D22" s="359"/>
      <c r="E22" s="359"/>
      <c r="F22" s="359"/>
      <c r="G22" s="359"/>
      <c r="H22" s="453" t="str">
        <f>'Inserir dados na planilha'!D12</f>
        <v>Vigilante</v>
      </c>
      <c r="I22" s="454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</row>
    <row r="23" spans="1:257" ht="18" customHeight="1" x14ac:dyDescent="0.3">
      <c r="A23" s="198">
        <v>5</v>
      </c>
      <c r="B23" s="359" t="s">
        <v>52</v>
      </c>
      <c r="C23" s="359"/>
      <c r="D23" s="359"/>
      <c r="E23" s="359"/>
      <c r="F23" s="359"/>
      <c r="G23" s="359"/>
      <c r="H23" s="455">
        <f>'Inserir dados na planilha'!E14</f>
        <v>45658</v>
      </c>
      <c r="I23" s="456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257" ht="18" customHeight="1" x14ac:dyDescent="0.3">
      <c r="A24" s="198">
        <v>6</v>
      </c>
      <c r="B24" s="359" t="s">
        <v>394</v>
      </c>
      <c r="C24" s="359"/>
      <c r="D24" s="359"/>
      <c r="E24" s="359"/>
      <c r="F24" s="359"/>
      <c r="G24" s="9">
        <f>'Inserir dados na planilha'!H22</f>
        <v>0.3</v>
      </c>
      <c r="H24" s="449">
        <f>ROUNDUP(G24*H21,2)</f>
        <v>527.16</v>
      </c>
      <c r="I24" s="450"/>
      <c r="J24" s="18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257" ht="18" customHeight="1" x14ac:dyDescent="0.3">
      <c r="A25" s="198">
        <v>7</v>
      </c>
      <c r="B25" s="359" t="s">
        <v>53</v>
      </c>
      <c r="C25" s="359"/>
      <c r="D25" s="359"/>
      <c r="E25" s="359"/>
      <c r="F25" s="359"/>
      <c r="G25" s="359"/>
      <c r="H25" s="384">
        <f>ROUNDUP(H24+H21,2)</f>
        <v>2284.36</v>
      </c>
      <c r="I25" s="384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spans="1:257" ht="18" customHeight="1" x14ac:dyDescent="0.3">
      <c r="A26" s="198">
        <v>8</v>
      </c>
      <c r="B26" s="359" t="s">
        <v>54</v>
      </c>
      <c r="C26" s="359"/>
      <c r="D26" s="359"/>
      <c r="E26" s="359"/>
      <c r="F26" s="359"/>
      <c r="G26" s="359"/>
      <c r="H26" s="384"/>
      <c r="I26" s="384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spans="1:257" ht="20.9" customHeight="1" x14ac:dyDescent="0.3">
      <c r="A27" s="198">
        <v>9</v>
      </c>
      <c r="B27" s="359" t="s">
        <v>385</v>
      </c>
      <c r="C27" s="359"/>
      <c r="D27" s="359"/>
      <c r="E27" s="359"/>
      <c r="F27" s="359"/>
      <c r="G27" s="359"/>
      <c r="H27" s="384"/>
      <c r="I27" s="38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spans="1:257" ht="18" customHeight="1" x14ac:dyDescent="0.3">
      <c r="A28" s="198">
        <v>10</v>
      </c>
      <c r="B28" s="359" t="s">
        <v>55</v>
      </c>
      <c r="C28" s="359"/>
      <c r="D28" s="359"/>
      <c r="E28" s="359"/>
      <c r="F28" s="359"/>
      <c r="G28" s="359"/>
      <c r="H28" s="384"/>
      <c r="I28" s="384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spans="1:257" ht="18" customHeight="1" x14ac:dyDescent="0.3">
      <c r="A29" s="198">
        <v>11</v>
      </c>
      <c r="B29" s="359" t="s">
        <v>56</v>
      </c>
      <c r="C29" s="359"/>
      <c r="D29" s="359"/>
      <c r="E29" s="359"/>
      <c r="F29" s="359"/>
      <c r="G29" s="359"/>
      <c r="H29" s="384"/>
      <c r="I29" s="38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spans="1:257" ht="18" customHeight="1" x14ac:dyDescent="0.3">
      <c r="A30" s="198">
        <v>12</v>
      </c>
      <c r="B30" s="359" t="s">
        <v>57</v>
      </c>
      <c r="C30" s="359"/>
      <c r="D30" s="359"/>
      <c r="E30" s="359"/>
      <c r="F30" s="359"/>
      <c r="G30" s="359"/>
      <c r="H30" s="384"/>
      <c r="I30" s="384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spans="1:257" ht="18" customHeight="1" x14ac:dyDescent="0.3">
      <c r="A31" s="198">
        <v>13</v>
      </c>
      <c r="B31" s="359" t="s">
        <v>58</v>
      </c>
      <c r="C31" s="359"/>
      <c r="D31" s="359"/>
      <c r="E31" s="359"/>
      <c r="F31" s="359"/>
      <c r="G31" s="359"/>
      <c r="H31" s="384"/>
      <c r="I31" s="384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spans="1:257" ht="18" customHeight="1" x14ac:dyDescent="0.3">
      <c r="A32" s="198">
        <v>14</v>
      </c>
      <c r="B32" s="359" t="s">
        <v>454</v>
      </c>
      <c r="C32" s="359"/>
      <c r="D32" s="359"/>
      <c r="E32" s="359"/>
      <c r="F32" s="359"/>
      <c r="G32" s="359"/>
      <c r="H32" s="384"/>
      <c r="I32" s="384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spans="1:257" ht="18" customHeight="1" x14ac:dyDescent="0.3">
      <c r="A33" s="198">
        <v>15</v>
      </c>
      <c r="B33" s="359" t="s">
        <v>59</v>
      </c>
      <c r="C33" s="359"/>
      <c r="D33" s="359"/>
      <c r="E33" s="359"/>
      <c r="F33" s="359"/>
      <c r="G33" s="359"/>
      <c r="H33" s="384"/>
      <c r="I33" s="384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spans="1:257" ht="18" customHeight="1" x14ac:dyDescent="0.3">
      <c r="A34" s="198">
        <v>16</v>
      </c>
      <c r="B34" s="359" t="s">
        <v>60</v>
      </c>
      <c r="C34" s="359"/>
      <c r="D34" s="359"/>
      <c r="E34" s="359"/>
      <c r="F34" s="359"/>
      <c r="G34" s="359"/>
      <c r="H34" s="384"/>
      <c r="I34" s="384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pans="1:257" ht="18" customHeight="1" x14ac:dyDescent="0.3">
      <c r="A35" s="198">
        <v>17</v>
      </c>
      <c r="B35" s="359" t="s">
        <v>61</v>
      </c>
      <c r="C35" s="359"/>
      <c r="D35" s="359"/>
      <c r="E35" s="359"/>
      <c r="F35" s="359"/>
      <c r="G35" s="359"/>
      <c r="H35" s="384"/>
      <c r="I35" s="38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257" ht="18" customHeight="1" x14ac:dyDescent="0.3">
      <c r="A36" s="198">
        <v>19</v>
      </c>
      <c r="B36" s="448" t="s">
        <v>62</v>
      </c>
      <c r="C36" s="448"/>
      <c r="D36" s="448"/>
      <c r="E36" s="448"/>
      <c r="F36" s="448"/>
      <c r="G36" s="448"/>
      <c r="H36" s="384"/>
      <c r="I36" s="38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spans="1:257" ht="18" customHeight="1" x14ac:dyDescent="0.3">
      <c r="A37" s="198">
        <v>20</v>
      </c>
      <c r="B37" s="359" t="s">
        <v>63</v>
      </c>
      <c r="C37" s="359"/>
      <c r="D37" s="359"/>
      <c r="E37" s="359"/>
      <c r="F37" s="359"/>
      <c r="G37" s="359"/>
      <c r="H37" s="388">
        <v>1</v>
      </c>
      <c r="I37" s="38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spans="1:257" x14ac:dyDescent="0.3">
      <c r="A38" s="375"/>
      <c r="B38" s="375"/>
      <c r="C38" s="375"/>
      <c r="D38" s="375"/>
      <c r="E38" s="375"/>
      <c r="F38" s="375"/>
      <c r="G38" s="375"/>
      <c r="H38" s="375"/>
      <c r="I38" s="375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spans="1:257" x14ac:dyDescent="0.3">
      <c r="A39" s="389"/>
      <c r="B39" s="389"/>
      <c r="C39" s="389"/>
      <c r="D39" s="389"/>
      <c r="E39" s="389"/>
      <c r="F39" s="389"/>
      <c r="G39" s="389"/>
      <c r="H39" s="389"/>
      <c r="I39" s="38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spans="1:257" ht="14.25" customHeight="1" x14ac:dyDescent="0.3">
      <c r="A40" s="375"/>
      <c r="B40" s="375"/>
      <c r="C40" s="375"/>
      <c r="D40" s="375"/>
      <c r="E40" s="375"/>
      <c r="F40" s="375"/>
      <c r="G40" s="375"/>
      <c r="H40" s="375"/>
      <c r="I40" s="375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spans="1:257" ht="17.25" customHeight="1" x14ac:dyDescent="0.3">
      <c r="A41" s="391" t="s">
        <v>64</v>
      </c>
      <c r="B41" s="391"/>
      <c r="C41" s="391"/>
      <c r="D41" s="391"/>
      <c r="E41" s="391"/>
      <c r="F41" s="391"/>
      <c r="G41" s="391"/>
      <c r="H41" s="391"/>
      <c r="I41" s="39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spans="1:257" ht="38.25" customHeight="1" x14ac:dyDescent="0.3">
      <c r="A42" s="12">
        <v>1</v>
      </c>
      <c r="B42" s="378" t="s">
        <v>65</v>
      </c>
      <c r="C42" s="378"/>
      <c r="D42" s="378"/>
      <c r="E42" s="378"/>
      <c r="F42" s="378"/>
      <c r="G42" s="378"/>
      <c r="H42" s="13" t="s">
        <v>66</v>
      </c>
      <c r="I42" s="12" t="s">
        <v>67</v>
      </c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spans="1:257" x14ac:dyDescent="0.3">
      <c r="A43" s="198" t="s">
        <v>34</v>
      </c>
      <c r="B43" s="359" t="s">
        <v>68</v>
      </c>
      <c r="C43" s="359"/>
      <c r="D43" s="359"/>
      <c r="E43" s="359"/>
      <c r="F43" s="359"/>
      <c r="G43" s="359"/>
      <c r="H43" s="206">
        <v>1</v>
      </c>
      <c r="I43" s="15">
        <f>ROUNDUP(H21*H37,2)</f>
        <v>1757.2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257" x14ac:dyDescent="0.3">
      <c r="A44" s="198" t="s">
        <v>36</v>
      </c>
      <c r="B44" s="359" t="s">
        <v>69</v>
      </c>
      <c r="C44" s="359"/>
      <c r="D44" s="359"/>
      <c r="E44" s="359"/>
      <c r="F44" s="359"/>
      <c r="G44" s="359"/>
      <c r="H44" s="206">
        <f>I44/I43</f>
        <v>0.3</v>
      </c>
      <c r="I44" s="15">
        <f>ROUNDUP(H24*H37,2)</f>
        <v>527.16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257" x14ac:dyDescent="0.3">
      <c r="A45" s="198" t="s">
        <v>38</v>
      </c>
      <c r="B45" s="359" t="s">
        <v>70</v>
      </c>
      <c r="C45" s="359"/>
      <c r="D45" s="359"/>
      <c r="E45" s="359"/>
      <c r="F45" s="359"/>
      <c r="G45" s="359"/>
      <c r="H45" s="206">
        <v>0</v>
      </c>
      <c r="I45" s="16">
        <v>0</v>
      </c>
      <c r="J45" s="1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</row>
    <row r="46" spans="1:257" x14ac:dyDescent="0.3">
      <c r="A46" s="198" t="s">
        <v>40</v>
      </c>
      <c r="B46" s="359" t="s">
        <v>72</v>
      </c>
      <c r="C46" s="359"/>
      <c r="D46" s="359"/>
      <c r="E46" s="359"/>
      <c r="F46" s="359"/>
      <c r="G46" s="359"/>
      <c r="H46" s="206">
        <v>0</v>
      </c>
      <c r="I46" s="16">
        <v>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</row>
    <row r="47" spans="1:257" x14ac:dyDescent="0.3">
      <c r="A47" s="198" t="s">
        <v>73</v>
      </c>
      <c r="B47" s="359" t="s">
        <v>74</v>
      </c>
      <c r="C47" s="359"/>
      <c r="D47" s="359"/>
      <c r="E47" s="359"/>
      <c r="F47" s="359"/>
      <c r="G47" s="359"/>
      <c r="H47" s="359"/>
      <c r="I47" s="15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</row>
    <row r="48" spans="1:257" ht="15.75" customHeight="1" x14ac:dyDescent="0.3">
      <c r="A48" s="390" t="s">
        <v>75</v>
      </c>
      <c r="B48" s="390"/>
      <c r="C48" s="390"/>
      <c r="D48" s="390"/>
      <c r="E48" s="390"/>
      <c r="F48" s="390"/>
      <c r="G48" s="390"/>
      <c r="H48" s="390"/>
      <c r="I48" s="17">
        <f>TRUNC(SUM(I43:I47),2)</f>
        <v>2284.36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</row>
    <row r="49" spans="1:257" ht="15.75" customHeight="1" x14ac:dyDescent="0.3">
      <c r="A49" s="375"/>
      <c r="B49" s="375"/>
      <c r="C49" s="375"/>
      <c r="D49" s="375"/>
      <c r="E49" s="375"/>
      <c r="F49" s="375"/>
      <c r="G49" s="375"/>
      <c r="H49" s="375"/>
      <c r="I49" s="375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</row>
    <row r="50" spans="1:257" ht="25.5" customHeight="1" x14ac:dyDescent="0.3">
      <c r="A50" s="198" t="s">
        <v>76</v>
      </c>
      <c r="B50" s="359" t="s">
        <v>77</v>
      </c>
      <c r="C50" s="359"/>
      <c r="D50" s="359"/>
      <c r="E50" s="359"/>
      <c r="F50" s="359"/>
      <c r="G50" s="359"/>
      <c r="H50" s="359"/>
      <c r="I50" s="15">
        <f>H36*H37</f>
        <v>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</row>
    <row r="51" spans="1:257" ht="42" customHeight="1" x14ac:dyDescent="0.3">
      <c r="A51" s="358" t="s">
        <v>78</v>
      </c>
      <c r="B51" s="358"/>
      <c r="C51" s="358"/>
      <c r="D51" s="358"/>
      <c r="E51" s="358"/>
      <c r="F51" s="358"/>
      <c r="G51" s="358"/>
      <c r="H51" s="358"/>
      <c r="I51" s="17">
        <f>I50</f>
        <v>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</row>
    <row r="52" spans="1:257" x14ac:dyDescent="0.3">
      <c r="A52" s="375"/>
      <c r="B52" s="375"/>
      <c r="C52" s="375"/>
      <c r="D52" s="375"/>
      <c r="E52" s="375"/>
      <c r="F52" s="375"/>
      <c r="G52" s="375"/>
      <c r="H52" s="375"/>
      <c r="I52" s="375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</row>
    <row r="53" spans="1:257" ht="13.5" customHeight="1" x14ac:dyDescent="0.3">
      <c r="A53" s="390" t="s">
        <v>79</v>
      </c>
      <c r="B53" s="390"/>
      <c r="C53" s="390"/>
      <c r="D53" s="390"/>
      <c r="E53" s="390"/>
      <c r="F53" s="390"/>
      <c r="G53" s="390"/>
      <c r="H53" s="390"/>
      <c r="I53" s="17">
        <f>I48+I51</f>
        <v>2284.36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</row>
    <row r="54" spans="1:257" ht="13.5" customHeight="1" x14ac:dyDescent="0.3">
      <c r="A54" s="375"/>
      <c r="B54" s="375"/>
      <c r="C54" s="375"/>
      <c r="D54" s="375"/>
      <c r="E54" s="375"/>
      <c r="F54" s="375"/>
      <c r="G54" s="375"/>
      <c r="H54" s="375"/>
      <c r="I54" s="375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spans="1:257" x14ac:dyDescent="0.3">
      <c r="A55" s="397"/>
      <c r="B55" s="397"/>
      <c r="C55" s="397"/>
      <c r="D55" s="397"/>
      <c r="E55" s="397"/>
      <c r="F55" s="397"/>
      <c r="G55" s="397"/>
      <c r="H55" s="397"/>
      <c r="I55" s="397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spans="1:257" ht="14.25" customHeight="1" x14ac:dyDescent="0.3">
      <c r="A56" s="375"/>
      <c r="B56" s="375"/>
      <c r="C56" s="375"/>
      <c r="D56" s="375"/>
      <c r="E56" s="375"/>
      <c r="F56" s="375"/>
      <c r="G56" s="375"/>
      <c r="H56" s="375"/>
      <c r="I56" s="375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spans="1:257" ht="15.5" x14ac:dyDescent="0.3">
      <c r="A57" s="398" t="s">
        <v>80</v>
      </c>
      <c r="B57" s="398"/>
      <c r="C57" s="398"/>
      <c r="D57" s="398"/>
      <c r="E57" s="398"/>
      <c r="F57" s="398"/>
      <c r="G57" s="398"/>
      <c r="H57" s="398"/>
      <c r="I57" s="398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spans="1:257" x14ac:dyDescent="0.3">
      <c r="A58" s="392" t="s">
        <v>81</v>
      </c>
      <c r="B58" s="392"/>
      <c r="C58" s="392"/>
      <c r="D58" s="392"/>
      <c r="E58" s="392"/>
      <c r="F58" s="392"/>
      <c r="G58" s="392"/>
      <c r="H58" s="392"/>
      <c r="I58" s="39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spans="1:257" ht="23" x14ac:dyDescent="0.3">
      <c r="A59" s="18" t="s">
        <v>82</v>
      </c>
      <c r="B59" s="393" t="s">
        <v>83</v>
      </c>
      <c r="C59" s="393"/>
      <c r="D59" s="393"/>
      <c r="E59" s="393"/>
      <c r="F59" s="393"/>
      <c r="G59" s="393"/>
      <c r="H59" s="19" t="s">
        <v>84</v>
      </c>
      <c r="I59" s="198" t="s">
        <v>85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spans="1:257" ht="13.5" customHeight="1" x14ac:dyDescent="0.3">
      <c r="A60" s="18" t="s">
        <v>34</v>
      </c>
      <c r="B60" s="394" t="s">
        <v>86</v>
      </c>
      <c r="C60" s="394"/>
      <c r="D60" s="394"/>
      <c r="E60" s="394"/>
      <c r="F60" s="394"/>
      <c r="G60" s="394"/>
      <c r="H60" s="20">
        <v>8.3299999999999999E-2</v>
      </c>
      <c r="I60" s="21">
        <f>ROUNDUP($I$48*H60,2)</f>
        <v>190.29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spans="1:257" ht="13.5" customHeight="1" x14ac:dyDescent="0.3">
      <c r="A61" s="18" t="s">
        <v>36</v>
      </c>
      <c r="B61" s="395" t="s">
        <v>87</v>
      </c>
      <c r="C61" s="395"/>
      <c r="D61" s="395"/>
      <c r="E61" s="395"/>
      <c r="F61" s="395"/>
      <c r="G61" s="395"/>
      <c r="H61" s="22">
        <v>3.0249999999999999E-2</v>
      </c>
      <c r="I61" s="21">
        <f>ROUNDUP($I$48*H61,2)</f>
        <v>69.11</v>
      </c>
      <c r="J61" s="56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spans="1:257" x14ac:dyDescent="0.3">
      <c r="A62" s="396" t="s">
        <v>75</v>
      </c>
      <c r="B62" s="396"/>
      <c r="C62" s="396"/>
      <c r="D62" s="396"/>
      <c r="E62" s="396"/>
      <c r="F62" s="396"/>
      <c r="G62" s="396"/>
      <c r="H62" s="396"/>
      <c r="I62" s="23">
        <f>TRUNC(SUM(I60:I61),2)</f>
        <v>259.39999999999998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spans="1:257" x14ac:dyDescent="0.3">
      <c r="A63" s="375"/>
      <c r="B63" s="375"/>
      <c r="C63" s="375"/>
      <c r="D63" s="375"/>
      <c r="E63" s="375"/>
      <c r="F63" s="375"/>
      <c r="G63" s="375"/>
      <c r="H63" s="375"/>
      <c r="I63" s="375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257" x14ac:dyDescent="0.3">
      <c r="A64" s="400"/>
      <c r="B64" s="400"/>
      <c r="C64" s="400"/>
      <c r="D64" s="400"/>
      <c r="E64" s="400"/>
      <c r="F64" s="400"/>
      <c r="G64" s="400"/>
      <c r="H64" s="400"/>
      <c r="I64" s="400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spans="1:257" ht="14.25" customHeight="1" x14ac:dyDescent="0.3">
      <c r="A65" s="375"/>
      <c r="B65" s="375"/>
      <c r="C65" s="375"/>
      <c r="D65" s="375"/>
      <c r="E65" s="375"/>
      <c r="F65" s="375"/>
      <c r="G65" s="375"/>
      <c r="H65" s="375"/>
      <c r="I65" s="375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spans="1:257" ht="30" customHeight="1" x14ac:dyDescent="0.3">
      <c r="A66" s="401" t="s">
        <v>88</v>
      </c>
      <c r="B66" s="401"/>
      <c r="C66" s="401"/>
      <c r="D66" s="401"/>
      <c r="E66" s="401"/>
      <c r="F66" s="401"/>
      <c r="G66" s="401"/>
      <c r="H66" s="401"/>
      <c r="I66" s="401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spans="1:257" ht="30" customHeight="1" x14ac:dyDescent="0.3">
      <c r="A67" s="24" t="s">
        <v>89</v>
      </c>
      <c r="B67" s="402" t="s">
        <v>90</v>
      </c>
      <c r="C67" s="402"/>
      <c r="D67" s="402"/>
      <c r="E67" s="402"/>
      <c r="F67" s="402"/>
      <c r="G67" s="402"/>
      <c r="H67" s="26" t="s">
        <v>84</v>
      </c>
      <c r="I67" s="201" t="s">
        <v>67</v>
      </c>
    </row>
    <row r="68" spans="1:257" ht="14.25" customHeight="1" x14ac:dyDescent="0.3">
      <c r="A68" s="203" t="s">
        <v>34</v>
      </c>
      <c r="B68" s="399" t="s">
        <v>91</v>
      </c>
      <c r="C68" s="399"/>
      <c r="D68" s="399"/>
      <c r="E68" s="399"/>
      <c r="F68" s="399"/>
      <c r="G68" s="399"/>
      <c r="H68" s="213">
        <f>'Inserir dados na planilha'!I26</f>
        <v>0.2</v>
      </c>
      <c r="I68" s="16">
        <f t="shared" ref="I68:I75" si="0">ROUNDUP(($I$48+$I$62)*H68,2)</f>
        <v>508.76</v>
      </c>
    </row>
    <row r="69" spans="1:257" ht="14.25" customHeight="1" x14ac:dyDescent="0.3">
      <c r="A69" s="203" t="s">
        <v>36</v>
      </c>
      <c r="B69" s="399" t="s">
        <v>92</v>
      </c>
      <c r="C69" s="399"/>
      <c r="D69" s="399"/>
      <c r="E69" s="399"/>
      <c r="F69" s="399"/>
      <c r="G69" s="399"/>
      <c r="H69" s="213">
        <f>'Inserir dados na planilha'!I27</f>
        <v>2.5000000000000001E-2</v>
      </c>
      <c r="I69" s="16">
        <f t="shared" si="0"/>
        <v>63.6</v>
      </c>
    </row>
    <row r="70" spans="1:257" ht="80.25" customHeight="1" x14ac:dyDescent="0.3">
      <c r="A70" s="203" t="s">
        <v>38</v>
      </c>
      <c r="B70" s="399" t="s">
        <v>93</v>
      </c>
      <c r="C70" s="399"/>
      <c r="D70" s="260" t="s">
        <v>94</v>
      </c>
      <c r="E70" s="261">
        <f>'Inserir dados na planilha'!I28</f>
        <v>0.03</v>
      </c>
      <c r="F70" s="260" t="s">
        <v>95</v>
      </c>
      <c r="G70" s="268">
        <f>'Inserir dados na planilha'!I29</f>
        <v>2</v>
      </c>
      <c r="H70" s="269">
        <f>ROUND((E70*G70),6)</f>
        <v>0.06</v>
      </c>
      <c r="I70" s="16">
        <f t="shared" si="0"/>
        <v>152.63</v>
      </c>
    </row>
    <row r="71" spans="1:257" ht="14.25" customHeight="1" x14ac:dyDescent="0.3">
      <c r="A71" s="203" t="s">
        <v>40</v>
      </c>
      <c r="B71" s="399" t="s">
        <v>96</v>
      </c>
      <c r="C71" s="399"/>
      <c r="D71" s="399"/>
      <c r="E71" s="399"/>
      <c r="F71" s="399"/>
      <c r="G71" s="399"/>
      <c r="H71" s="213">
        <f>'Inserir dados na planilha'!I30</f>
        <v>1.4999999999999999E-2</v>
      </c>
      <c r="I71" s="16">
        <f t="shared" si="0"/>
        <v>38.159999999999997</v>
      </c>
    </row>
    <row r="72" spans="1:257" ht="14.25" customHeight="1" x14ac:dyDescent="0.3">
      <c r="A72" s="203" t="s">
        <v>73</v>
      </c>
      <c r="B72" s="399" t="s">
        <v>97</v>
      </c>
      <c r="C72" s="399"/>
      <c r="D72" s="399"/>
      <c r="E72" s="399"/>
      <c r="F72" s="399"/>
      <c r="G72" s="399"/>
      <c r="H72" s="213">
        <f>'Inserir dados na planilha'!I31</f>
        <v>0.01</v>
      </c>
      <c r="I72" s="16">
        <f t="shared" si="0"/>
        <v>25.44</v>
      </c>
    </row>
    <row r="73" spans="1:257" ht="14.25" customHeight="1" x14ac:dyDescent="0.3">
      <c r="A73" s="203" t="s">
        <v>76</v>
      </c>
      <c r="B73" s="399" t="s">
        <v>98</v>
      </c>
      <c r="C73" s="399"/>
      <c r="D73" s="399"/>
      <c r="E73" s="399"/>
      <c r="F73" s="399"/>
      <c r="G73" s="399"/>
      <c r="H73" s="213">
        <f>'Inserir dados na planilha'!I32</f>
        <v>6.0000000000000001E-3</v>
      </c>
      <c r="I73" s="16">
        <f t="shared" si="0"/>
        <v>15.27</v>
      </c>
    </row>
    <row r="74" spans="1:257" ht="14.25" customHeight="1" x14ac:dyDescent="0.3">
      <c r="A74" s="203" t="s">
        <v>99</v>
      </c>
      <c r="B74" s="399" t="s">
        <v>100</v>
      </c>
      <c r="C74" s="399"/>
      <c r="D74" s="399"/>
      <c r="E74" s="399"/>
      <c r="F74" s="399"/>
      <c r="G74" s="399"/>
      <c r="H74" s="213">
        <f>'Inserir dados na planilha'!I33</f>
        <v>2E-3</v>
      </c>
      <c r="I74" s="16">
        <f t="shared" si="0"/>
        <v>5.09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spans="1:257" ht="14.25" customHeight="1" x14ac:dyDescent="0.3">
      <c r="A75" s="203" t="s">
        <v>101</v>
      </c>
      <c r="B75" s="359" t="s">
        <v>102</v>
      </c>
      <c r="C75" s="359"/>
      <c r="D75" s="359"/>
      <c r="E75" s="359"/>
      <c r="F75" s="359"/>
      <c r="G75" s="359"/>
      <c r="H75" s="213">
        <v>0.08</v>
      </c>
      <c r="I75" s="16">
        <f t="shared" si="0"/>
        <v>203.51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spans="1:257" x14ac:dyDescent="0.3">
      <c r="A76" s="396" t="s">
        <v>75</v>
      </c>
      <c r="B76" s="396"/>
      <c r="C76" s="396"/>
      <c r="D76" s="396"/>
      <c r="E76" s="396"/>
      <c r="F76" s="396"/>
      <c r="G76" s="396"/>
      <c r="H76" s="29">
        <f>SUM(H68:H75)</f>
        <v>0.39800000000000008</v>
      </c>
      <c r="I76" s="30">
        <f>TRUNC(SUM(I68:I75),2)</f>
        <v>1012.46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spans="1:257" x14ac:dyDescent="0.3">
      <c r="A77" s="31"/>
      <c r="B77" s="32"/>
      <c r="C77" s="32"/>
      <c r="D77" s="32"/>
      <c r="E77" s="32"/>
      <c r="F77" s="32"/>
      <c r="G77" s="32"/>
      <c r="H77" s="33"/>
      <c r="I77" s="3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spans="1:257" x14ac:dyDescent="0.3">
      <c r="A78" s="400"/>
      <c r="B78" s="400"/>
      <c r="C78" s="400"/>
      <c r="D78" s="400"/>
      <c r="E78" s="400"/>
      <c r="F78" s="400"/>
      <c r="G78" s="400"/>
      <c r="H78" s="400"/>
      <c r="I78" s="400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spans="1:257" x14ac:dyDescent="0.3">
      <c r="A79" s="375"/>
      <c r="B79" s="375"/>
      <c r="C79" s="375"/>
      <c r="D79" s="375"/>
      <c r="E79" s="375"/>
      <c r="F79" s="375"/>
      <c r="G79" s="375"/>
      <c r="H79" s="375"/>
      <c r="I79" s="375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spans="1:257" x14ac:dyDescent="0.3">
      <c r="A80" s="407" t="s">
        <v>103</v>
      </c>
      <c r="B80" s="407"/>
      <c r="C80" s="407"/>
      <c r="D80" s="407"/>
      <c r="E80" s="407"/>
      <c r="F80" s="407"/>
      <c r="G80" s="407"/>
      <c r="H80" s="407"/>
      <c r="I80" s="407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spans="1:257" ht="15.75" customHeight="1" x14ac:dyDescent="0.3">
      <c r="A81" s="202" t="s">
        <v>104</v>
      </c>
      <c r="B81" s="402" t="s">
        <v>105</v>
      </c>
      <c r="C81" s="402"/>
      <c r="D81" s="402"/>
      <c r="E81" s="402"/>
      <c r="F81" s="402"/>
      <c r="G81" s="402"/>
      <c r="H81" s="402"/>
      <c r="I81" s="201" t="s">
        <v>85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spans="1:257" ht="14.25" customHeight="1" x14ac:dyDescent="0.3">
      <c r="A82" s="138" t="s">
        <v>34</v>
      </c>
      <c r="B82" s="399" t="s">
        <v>106</v>
      </c>
      <c r="C82" s="399"/>
      <c r="D82" s="399"/>
      <c r="E82" s="399"/>
      <c r="F82" s="399"/>
      <c r="G82" s="399"/>
      <c r="H82" s="399"/>
      <c r="I82" s="290">
        <f>IF(((H83*H84*H85)-(H21*H86))&lt;0,0,((H83*H84*H85)-(H21*H86))*H37)</f>
        <v>0</v>
      </c>
      <c r="J82" s="2"/>
      <c r="K82" s="195"/>
      <c r="L82" s="40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spans="1:257" ht="25.5" customHeight="1" x14ac:dyDescent="0.3">
      <c r="A83" s="138"/>
      <c r="B83" s="446" t="s">
        <v>107</v>
      </c>
      <c r="C83" s="446"/>
      <c r="D83" s="446"/>
      <c r="E83" s="446"/>
      <c r="F83" s="446"/>
      <c r="G83" s="446"/>
      <c r="H83" s="262">
        <f>'Inserir dados na planilha'!I38</f>
        <v>0</v>
      </c>
      <c r="I83" s="250"/>
      <c r="J83" s="2"/>
      <c r="K83" s="2"/>
      <c r="L83" s="182"/>
      <c r="M83" s="40"/>
      <c r="N83" s="18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spans="1:257" ht="14.25" customHeight="1" x14ac:dyDescent="0.3">
      <c r="A84" s="138"/>
      <c r="B84" s="446" t="s">
        <v>108</v>
      </c>
      <c r="C84" s="446"/>
      <c r="D84" s="446"/>
      <c r="E84" s="446"/>
      <c r="F84" s="446"/>
      <c r="G84" s="446"/>
      <c r="H84" s="251">
        <v>2</v>
      </c>
      <c r="I84" s="25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spans="1:257" ht="14.25" customHeight="1" x14ac:dyDescent="0.3">
      <c r="A85" s="138"/>
      <c r="B85" s="446" t="s">
        <v>109</v>
      </c>
      <c r="C85" s="446"/>
      <c r="D85" s="446"/>
      <c r="E85" s="446"/>
      <c r="F85" s="446"/>
      <c r="G85" s="446"/>
      <c r="H85" s="251">
        <v>22</v>
      </c>
      <c r="I85" s="25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spans="1:257" x14ac:dyDescent="0.3">
      <c r="A86" s="138"/>
      <c r="B86" s="447" t="s">
        <v>110</v>
      </c>
      <c r="C86" s="447"/>
      <c r="D86" s="447"/>
      <c r="E86" s="447"/>
      <c r="F86" s="447"/>
      <c r="G86" s="447"/>
      <c r="H86" s="253">
        <v>0.06</v>
      </c>
      <c r="I86" s="25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spans="1:257" ht="14.25" customHeight="1" x14ac:dyDescent="0.3">
      <c r="A87" s="138" t="s">
        <v>36</v>
      </c>
      <c r="B87" s="405" t="s">
        <v>388</v>
      </c>
      <c r="C87" s="405"/>
      <c r="D87" s="405"/>
      <c r="E87" s="405"/>
      <c r="F87" s="405"/>
      <c r="G87" s="405"/>
      <c r="H87" s="405"/>
      <c r="I87" s="290">
        <f>ROUNDUP((H88*H89)*(1-H90)*H37,2)</f>
        <v>624.6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spans="1:257" ht="14.25" customHeight="1" x14ac:dyDescent="0.3">
      <c r="A88" s="138"/>
      <c r="B88" s="406" t="s">
        <v>111</v>
      </c>
      <c r="C88" s="406"/>
      <c r="D88" s="406"/>
      <c r="E88" s="406"/>
      <c r="F88" s="406"/>
      <c r="G88" s="406"/>
      <c r="H88" s="274">
        <f>'Inserir dados na planilha'!I40</f>
        <v>28.390899999999998</v>
      </c>
      <c r="I88" s="25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spans="1:257" ht="14" customHeight="1" x14ac:dyDescent="0.3">
      <c r="A89" s="139"/>
      <c r="B89" s="403" t="s">
        <v>112</v>
      </c>
      <c r="C89" s="403"/>
      <c r="D89" s="403"/>
      <c r="E89" s="403"/>
      <c r="F89" s="403"/>
      <c r="G89" s="403"/>
      <c r="H89" s="251">
        <v>22</v>
      </c>
      <c r="I89" s="25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spans="1:257" ht="14" customHeight="1" x14ac:dyDescent="0.3">
      <c r="A90" s="139"/>
      <c r="B90" s="410" t="s">
        <v>113</v>
      </c>
      <c r="C90" s="411"/>
      <c r="D90" s="411"/>
      <c r="E90" s="411"/>
      <c r="F90" s="412"/>
      <c r="G90" s="258">
        <f>'Inserir dados na planilha'!G41</f>
        <v>0</v>
      </c>
      <c r="H90" s="256">
        <f>'Inserir dados na planilha'!I41</f>
        <v>0</v>
      </c>
      <c r="I90" s="252">
        <f>'Inserir dados na planilha'!I41</f>
        <v>0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spans="1:257" ht="14" customHeight="1" x14ac:dyDescent="0.3">
      <c r="A91" s="138" t="s">
        <v>38</v>
      </c>
      <c r="B91" s="409" t="s">
        <v>114</v>
      </c>
      <c r="C91" s="409"/>
      <c r="D91" s="409"/>
      <c r="E91" s="409"/>
      <c r="F91" s="409"/>
      <c r="G91" s="409"/>
      <c r="H91" s="256">
        <f>'Inserir dados na planilha'!I42</f>
        <v>0</v>
      </c>
      <c r="I91" s="256">
        <f>ROUNDUP((H91*$H$37)*(1-'Inserir dados na planilha'!H42),2)</f>
        <v>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</row>
    <row r="92" spans="1:257" ht="14" customHeight="1" x14ac:dyDescent="0.3">
      <c r="A92" s="138" t="s">
        <v>40</v>
      </c>
      <c r="B92" s="399" t="s">
        <v>115</v>
      </c>
      <c r="C92" s="399"/>
      <c r="D92" s="399"/>
      <c r="E92" s="399"/>
      <c r="F92" s="399"/>
      <c r="G92" s="399"/>
      <c r="H92" s="256">
        <f>'Inserir dados na planilha'!I43</f>
        <v>44.03</v>
      </c>
      <c r="I92" s="256">
        <f>ROUNDUP(((H92*$H$37)*(1-'Inserir dados na planilha'!H43)),2)</f>
        <v>44.03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</row>
    <row r="93" spans="1:257" x14ac:dyDescent="0.3">
      <c r="A93" s="138" t="s">
        <v>73</v>
      </c>
      <c r="B93" s="413" t="s">
        <v>378</v>
      </c>
      <c r="C93" s="414"/>
      <c r="D93" s="414"/>
      <c r="E93" s="414"/>
      <c r="F93" s="414"/>
      <c r="G93" s="415"/>
      <c r="H93" s="256">
        <f>'Inserir dados na planilha'!I44</f>
        <v>0</v>
      </c>
      <c r="I93" s="256">
        <f>ROUNDUP((H93*$H$37)*(1-'Inserir dados na planilha'!H44),2)</f>
        <v>0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</row>
    <row r="94" spans="1:257" x14ac:dyDescent="0.3">
      <c r="A94" s="138" t="s">
        <v>76</v>
      </c>
      <c r="B94" s="413" t="s">
        <v>379</v>
      </c>
      <c r="C94" s="414"/>
      <c r="D94" s="414"/>
      <c r="E94" s="414"/>
      <c r="F94" s="414"/>
      <c r="G94" s="415"/>
      <c r="H94" s="256">
        <f>'Inserir dados na planilha'!I45</f>
        <v>0</v>
      </c>
      <c r="I94" s="256">
        <f>ROUNDUP((H94*$H$37)*(1-'Inserir dados na planilha'!H45),2)</f>
        <v>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</row>
    <row r="95" spans="1:257" x14ac:dyDescent="0.3">
      <c r="A95" s="38"/>
      <c r="B95" s="396" t="s">
        <v>75</v>
      </c>
      <c r="C95" s="396"/>
      <c r="D95" s="396"/>
      <c r="E95" s="396"/>
      <c r="F95" s="396"/>
      <c r="G95" s="396"/>
      <c r="H95" s="396"/>
      <c r="I95" s="30">
        <f>TRUNC(SUM(I82:I94),2)</f>
        <v>668.63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</row>
    <row r="96" spans="1:257" x14ac:dyDescent="0.3">
      <c r="A96" s="375"/>
      <c r="B96" s="375"/>
      <c r="C96" s="375"/>
      <c r="D96" s="375"/>
      <c r="E96" s="375"/>
      <c r="F96" s="375"/>
      <c r="G96" s="375"/>
      <c r="H96" s="375"/>
      <c r="I96" s="375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</row>
    <row r="97" spans="1:257" x14ac:dyDescent="0.3">
      <c r="A97" s="408"/>
      <c r="B97" s="408"/>
      <c r="C97" s="408"/>
      <c r="D97" s="408"/>
      <c r="E97" s="408"/>
      <c r="F97" s="408"/>
      <c r="G97" s="408"/>
      <c r="H97" s="408"/>
      <c r="I97" s="408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</row>
    <row r="98" spans="1:257" ht="14.25" customHeight="1" x14ac:dyDescent="0.3">
      <c r="A98" s="375"/>
      <c r="B98" s="375"/>
      <c r="C98" s="375"/>
      <c r="D98" s="375"/>
      <c r="E98" s="375"/>
      <c r="F98" s="375"/>
      <c r="G98" s="375"/>
      <c r="H98" s="375"/>
      <c r="I98" s="375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</row>
    <row r="99" spans="1:257" ht="17.25" customHeight="1" x14ac:dyDescent="0.3">
      <c r="A99" s="391" t="s">
        <v>116</v>
      </c>
      <c r="B99" s="391"/>
      <c r="C99" s="391"/>
      <c r="D99" s="391"/>
      <c r="E99" s="391"/>
      <c r="F99" s="391"/>
      <c r="G99" s="391"/>
      <c r="H99" s="391"/>
      <c r="I99" s="391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spans="1:257" ht="15.75" customHeight="1" x14ac:dyDescent="0.3">
      <c r="A100" s="201">
        <v>2</v>
      </c>
      <c r="B100" s="402" t="s">
        <v>117</v>
      </c>
      <c r="C100" s="402"/>
      <c r="D100" s="402"/>
      <c r="E100" s="402"/>
      <c r="F100" s="402"/>
      <c r="G100" s="402"/>
      <c r="H100" s="402"/>
      <c r="I100" s="201" t="s">
        <v>85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spans="1:257" ht="14.25" customHeight="1" x14ac:dyDescent="0.3">
      <c r="A101" s="198" t="s">
        <v>82</v>
      </c>
      <c r="B101" s="359" t="s">
        <v>118</v>
      </c>
      <c r="C101" s="359"/>
      <c r="D101" s="359"/>
      <c r="E101" s="359"/>
      <c r="F101" s="359"/>
      <c r="G101" s="359"/>
      <c r="H101" s="359"/>
      <c r="I101" s="184">
        <f>I62</f>
        <v>259.39999999999998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</row>
    <row r="102" spans="1:257" ht="14.25" customHeight="1" x14ac:dyDescent="0.3">
      <c r="A102" s="198" t="s">
        <v>89</v>
      </c>
      <c r="B102" s="359" t="s">
        <v>90</v>
      </c>
      <c r="C102" s="359"/>
      <c r="D102" s="359"/>
      <c r="E102" s="359"/>
      <c r="F102" s="359"/>
      <c r="G102" s="359"/>
      <c r="H102" s="359"/>
      <c r="I102" s="184">
        <f>I76</f>
        <v>1012.46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</row>
    <row r="103" spans="1:257" ht="14.25" customHeight="1" x14ac:dyDescent="0.3">
      <c r="A103" s="198" t="s">
        <v>104</v>
      </c>
      <c r="B103" s="359" t="s">
        <v>105</v>
      </c>
      <c r="C103" s="359"/>
      <c r="D103" s="359"/>
      <c r="E103" s="359"/>
      <c r="F103" s="359"/>
      <c r="G103" s="359"/>
      <c r="H103" s="359"/>
      <c r="I103" s="184">
        <f>I95</f>
        <v>668.63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spans="1:257" ht="14.25" customHeight="1" x14ac:dyDescent="0.3">
      <c r="A104" s="390" t="s">
        <v>75</v>
      </c>
      <c r="B104" s="390"/>
      <c r="C104" s="390"/>
      <c r="D104" s="390"/>
      <c r="E104" s="390"/>
      <c r="F104" s="390"/>
      <c r="G104" s="390"/>
      <c r="H104" s="390"/>
      <c r="I104" s="39">
        <f>TRUNC(SUM(I101:I103),2)</f>
        <v>1940.49</v>
      </c>
      <c r="J104" s="2"/>
      <c r="K104" s="40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spans="1:257" ht="14.25" customHeight="1" x14ac:dyDescent="0.3">
      <c r="A105" s="375"/>
      <c r="B105" s="375"/>
      <c r="C105" s="375"/>
      <c r="D105" s="375"/>
      <c r="E105" s="375"/>
      <c r="F105" s="375"/>
      <c r="G105" s="375"/>
      <c r="H105" s="375"/>
      <c r="I105" s="375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</row>
    <row r="106" spans="1:257" ht="15.5" x14ac:dyDescent="0.3">
      <c r="A106" s="398" t="s">
        <v>119</v>
      </c>
      <c r="B106" s="398"/>
      <c r="C106" s="398"/>
      <c r="D106" s="398"/>
      <c r="E106" s="398"/>
      <c r="F106" s="398"/>
      <c r="G106" s="398"/>
      <c r="H106" s="398"/>
      <c r="I106" s="398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</row>
    <row r="107" spans="1:257" x14ac:dyDescent="0.3">
      <c r="A107" s="202">
        <v>3</v>
      </c>
      <c r="B107" s="416" t="s">
        <v>120</v>
      </c>
      <c r="C107" s="416"/>
      <c r="D107" s="416"/>
      <c r="E107" s="416"/>
      <c r="F107" s="416"/>
      <c r="G107" s="416"/>
      <c r="H107" s="41" t="s">
        <v>84</v>
      </c>
      <c r="I107" s="202" t="s">
        <v>121</v>
      </c>
    </row>
    <row r="108" spans="1:257" ht="15" customHeight="1" x14ac:dyDescent="0.3">
      <c r="A108" s="18" t="s">
        <v>34</v>
      </c>
      <c r="B108" s="359" t="s">
        <v>122</v>
      </c>
      <c r="C108" s="359"/>
      <c r="D108" s="359"/>
      <c r="E108" s="359"/>
      <c r="F108" s="359"/>
      <c r="G108" s="359"/>
      <c r="H108" s="275">
        <f>I108/($I$48+$I$62)</f>
        <v>4.5837657640657916E-3</v>
      </c>
      <c r="I108" s="16">
        <f>ROUNDUP(((((I48+I62)*5.5%)/12)),2)</f>
        <v>11.66</v>
      </c>
      <c r="J108" s="42"/>
    </row>
    <row r="109" spans="1:257" x14ac:dyDescent="0.3">
      <c r="A109" s="18" t="s">
        <v>36</v>
      </c>
      <c r="B109" s="393" t="s">
        <v>123</v>
      </c>
      <c r="C109" s="393"/>
      <c r="D109" s="393"/>
      <c r="E109" s="393"/>
      <c r="F109" s="393"/>
      <c r="G109" s="393"/>
      <c r="H109" s="216">
        <f>I109/($I$48+$I$62)</f>
        <v>3.6953171682863165E-4</v>
      </c>
      <c r="I109" s="16">
        <f>ROUNDUP($I$108*H75,2)</f>
        <v>0.94000000000000006</v>
      </c>
      <c r="J109" s="44"/>
    </row>
    <row r="110" spans="1:257" ht="13.5" customHeight="1" x14ac:dyDescent="0.3">
      <c r="A110" s="18" t="s">
        <v>38</v>
      </c>
      <c r="B110" s="359" t="s">
        <v>124</v>
      </c>
      <c r="C110" s="359"/>
      <c r="D110" s="359"/>
      <c r="E110" s="359"/>
      <c r="F110" s="359"/>
      <c r="G110" s="359"/>
      <c r="H110" s="43">
        <v>8.0000000000000002E-3</v>
      </c>
      <c r="I110" s="16">
        <f>ROUNDUP(H110*($I$48+$I$62),2)</f>
        <v>20.360000000000003</v>
      </c>
      <c r="J110" s="44"/>
    </row>
    <row r="111" spans="1:257" ht="15" customHeight="1" x14ac:dyDescent="0.3">
      <c r="A111" s="18" t="s">
        <v>40</v>
      </c>
      <c r="B111" s="359" t="s">
        <v>125</v>
      </c>
      <c r="C111" s="359"/>
      <c r="D111" s="359"/>
      <c r="E111" s="359"/>
      <c r="F111" s="359"/>
      <c r="G111" s="359"/>
      <c r="H111" s="276">
        <f>I111/($I$48+$I$62)</f>
        <v>1.9447589395225964E-2</v>
      </c>
      <c r="I111" s="16">
        <f>ROUNDUP(((($I$48+$I$62)/30)*7)/12,2)</f>
        <v>49.47</v>
      </c>
      <c r="J111" s="45"/>
    </row>
    <row r="112" spans="1:257" ht="24" customHeight="1" x14ac:dyDescent="0.3">
      <c r="A112" s="18" t="s">
        <v>73</v>
      </c>
      <c r="B112" s="359" t="s">
        <v>126</v>
      </c>
      <c r="C112" s="359"/>
      <c r="D112" s="359"/>
      <c r="E112" s="359"/>
      <c r="F112" s="359"/>
      <c r="G112" s="359"/>
      <c r="H112" s="43">
        <f>I112/($I$48+$I$62)</f>
        <v>7.7405101110167625E-3</v>
      </c>
      <c r="I112" s="16">
        <f>ROUNDUP(I111*H76,2)</f>
        <v>19.690000000000001</v>
      </c>
      <c r="J112" s="42"/>
    </row>
    <row r="113" spans="1:257" x14ac:dyDescent="0.3">
      <c r="A113" s="18" t="s">
        <v>76</v>
      </c>
      <c r="B113" s="359" t="s">
        <v>127</v>
      </c>
      <c r="C113" s="359"/>
      <c r="D113" s="359"/>
      <c r="E113" s="359"/>
      <c r="F113" s="359"/>
      <c r="G113" s="359"/>
      <c r="H113" s="28">
        <f>I113/(I48)</f>
        <v>3.2000210124498767E-2</v>
      </c>
      <c r="I113" s="16">
        <f>ROUNDUP((I48)*H75*40%,2)</f>
        <v>73.100000000000009</v>
      </c>
      <c r="J113" s="42"/>
    </row>
    <row r="114" spans="1:257" x14ac:dyDescent="0.3">
      <c r="A114" s="396" t="s">
        <v>75</v>
      </c>
      <c r="B114" s="396"/>
      <c r="C114" s="396"/>
      <c r="D114" s="396"/>
      <c r="E114" s="396"/>
      <c r="F114" s="396"/>
      <c r="G114" s="396"/>
      <c r="H114" s="396"/>
      <c r="I114" s="30">
        <f>TRUNC(SUM(I108:I113),2)</f>
        <v>175.22</v>
      </c>
    </row>
    <row r="115" spans="1:257" x14ac:dyDescent="0.3">
      <c r="A115" s="419"/>
      <c r="B115" s="419"/>
      <c r="C115" s="419"/>
      <c r="D115" s="419"/>
      <c r="E115" s="419"/>
      <c r="F115" s="419"/>
      <c r="G115" s="419"/>
      <c r="H115" s="419"/>
      <c r="I115" s="419"/>
    </row>
    <row r="116" spans="1:257" ht="17.25" customHeight="1" x14ac:dyDescent="0.3">
      <c r="A116" s="391" t="s">
        <v>128</v>
      </c>
      <c r="B116" s="391"/>
      <c r="C116" s="391"/>
      <c r="D116" s="391"/>
      <c r="E116" s="391"/>
      <c r="F116" s="391"/>
      <c r="G116" s="391"/>
      <c r="H116" s="391"/>
      <c r="I116" s="391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</row>
    <row r="117" spans="1:257" ht="17.25" hidden="1" customHeight="1" x14ac:dyDescent="0.35">
      <c r="A117" s="420" t="s">
        <v>129</v>
      </c>
      <c r="B117" s="420"/>
      <c r="C117" s="420"/>
      <c r="D117" s="420"/>
      <c r="E117" s="420"/>
      <c r="F117" s="420"/>
      <c r="G117" s="420"/>
      <c r="H117" s="420"/>
      <c r="I117" s="420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spans="1:257" ht="33.75" hidden="1" customHeight="1" x14ac:dyDescent="0.3">
      <c r="A118" s="46" t="s">
        <v>130</v>
      </c>
      <c r="B118" s="47">
        <f>I48</f>
        <v>2284.36</v>
      </c>
      <c r="C118" s="200"/>
      <c r="D118" s="48" t="s">
        <v>131</v>
      </c>
      <c r="E118" s="49">
        <f>I104-I82-I87</f>
        <v>1315.8899999999999</v>
      </c>
      <c r="F118" s="200"/>
      <c r="G118" s="46" t="s">
        <v>132</v>
      </c>
      <c r="H118" s="183">
        <f>I114</f>
        <v>175.22</v>
      </c>
      <c r="I118" s="50">
        <f>ROUND(B118+E118+H118,2)</f>
        <v>3775.47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19" spans="1:257" ht="15.5" x14ac:dyDescent="0.3">
      <c r="A119" s="391" t="s">
        <v>133</v>
      </c>
      <c r="B119" s="391"/>
      <c r="C119" s="391"/>
      <c r="D119" s="391"/>
      <c r="E119" s="391"/>
      <c r="F119" s="391"/>
      <c r="G119" s="391"/>
      <c r="H119" s="391"/>
      <c r="I119" s="391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</row>
    <row r="120" spans="1:257" x14ac:dyDescent="0.3">
      <c r="A120" s="51" t="s">
        <v>134</v>
      </c>
      <c r="B120" s="417" t="s">
        <v>135</v>
      </c>
      <c r="C120" s="417"/>
      <c r="D120" s="417"/>
      <c r="E120" s="417"/>
      <c r="F120" s="417"/>
      <c r="G120" s="417"/>
      <c r="H120" s="41" t="s">
        <v>84</v>
      </c>
      <c r="I120" s="52" t="s">
        <v>85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spans="1:257" ht="13.5" customHeight="1" x14ac:dyDescent="0.3">
      <c r="A121" s="18" t="s">
        <v>34</v>
      </c>
      <c r="B121" s="394" t="s">
        <v>136</v>
      </c>
      <c r="C121" s="394"/>
      <c r="D121" s="394"/>
      <c r="E121" s="394"/>
      <c r="F121" s="394"/>
      <c r="G121" s="394"/>
      <c r="H121" s="53">
        <v>9.0749999999999997E-2</v>
      </c>
      <c r="I121" s="16">
        <f>ROUNDUP($I$48*H121,2)</f>
        <v>207.31</v>
      </c>
      <c r="J121" s="2"/>
      <c r="K121" s="54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</row>
    <row r="122" spans="1:257" ht="13.5" customHeight="1" x14ac:dyDescent="0.3">
      <c r="A122" s="18" t="s">
        <v>137</v>
      </c>
      <c r="B122" s="394" t="s">
        <v>138</v>
      </c>
      <c r="C122" s="394"/>
      <c r="D122" s="394"/>
      <c r="E122" s="394"/>
      <c r="F122" s="394"/>
      <c r="G122" s="394"/>
      <c r="H122" s="194">
        <f>I122/($I$48+$I$62)</f>
        <v>3.2436236122904673E-2</v>
      </c>
      <c r="I122" s="16">
        <f>ROUNDUP(I121*H76,2)</f>
        <v>82.51</v>
      </c>
      <c r="J122" s="2"/>
      <c r="K122" s="54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</row>
    <row r="123" spans="1:257" ht="15" customHeight="1" x14ac:dyDescent="0.3">
      <c r="A123" s="18" t="s">
        <v>36</v>
      </c>
      <c r="B123" s="418" t="s">
        <v>139</v>
      </c>
      <c r="C123" s="418"/>
      <c r="D123" s="418"/>
      <c r="E123" s="418"/>
      <c r="F123" s="418"/>
      <c r="G123" s="418"/>
      <c r="H123" s="264">
        <f>'Inserir dados na planilha'!I49</f>
        <v>1.6299999999999999E-2</v>
      </c>
      <c r="I123" s="212">
        <f>ROUNDUP(H123*$I$118,2)</f>
        <v>61.55</v>
      </c>
      <c r="J123" s="5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</row>
    <row r="124" spans="1:257" ht="15" customHeight="1" x14ac:dyDescent="0.3">
      <c r="A124" s="18" t="s">
        <v>38</v>
      </c>
      <c r="B124" s="359" t="s">
        <v>140</v>
      </c>
      <c r="C124" s="359"/>
      <c r="D124" s="359"/>
      <c r="E124" s="359"/>
      <c r="F124" s="359"/>
      <c r="G124" s="359"/>
      <c r="H124" s="264">
        <f>'Inserir dados na planilha'!I50</f>
        <v>2.3000000000000001E-4</v>
      </c>
      <c r="I124" s="212">
        <f>ROUNDUP(H124*$I$118,2)</f>
        <v>0.87</v>
      </c>
      <c r="J124" s="56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spans="1:257" ht="15" customHeight="1" x14ac:dyDescent="0.3">
      <c r="A125" s="18" t="s">
        <v>40</v>
      </c>
      <c r="B125" s="359" t="s">
        <v>141</v>
      </c>
      <c r="C125" s="359"/>
      <c r="D125" s="359"/>
      <c r="E125" s="359"/>
      <c r="F125" s="359"/>
      <c r="G125" s="359"/>
      <c r="H125" s="264">
        <f>'Inserir dados na planilha'!I51</f>
        <v>3.3E-3</v>
      </c>
      <c r="I125" s="212">
        <f>ROUNDUP(H125*$I$118,2)</f>
        <v>12.459999999999999</v>
      </c>
      <c r="J125" s="56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spans="1:257" ht="15" customHeight="1" x14ac:dyDescent="0.3">
      <c r="A126" s="18" t="s">
        <v>73</v>
      </c>
      <c r="B126" s="359" t="s">
        <v>142</v>
      </c>
      <c r="C126" s="359"/>
      <c r="D126" s="359"/>
      <c r="E126" s="359"/>
      <c r="F126" s="359"/>
      <c r="G126" s="359"/>
      <c r="H126" s="265">
        <f>'Inserir dados na planilha'!I52</f>
        <v>5.5000000000000003E-4</v>
      </c>
      <c r="I126" s="212">
        <f>ROUNDUP(H126*$I$118,2)</f>
        <v>2.0799999999999996</v>
      </c>
      <c r="J126" s="56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</row>
    <row r="127" spans="1:257" ht="15" customHeight="1" x14ac:dyDescent="0.3">
      <c r="A127" s="18" t="s">
        <v>76</v>
      </c>
      <c r="B127" s="359" t="s">
        <v>143</v>
      </c>
      <c r="C127" s="359"/>
      <c r="D127" s="359"/>
      <c r="E127" s="359"/>
      <c r="F127" s="359"/>
      <c r="G127" s="359"/>
      <c r="H127" s="264">
        <f>'Inserir dados na planilha'!I53</f>
        <v>1.3899999999999999E-2</v>
      </c>
      <c r="I127" s="212">
        <f>ROUNDUP(H127*$I$118,2)</f>
        <v>52.48</v>
      </c>
      <c r="J127" s="56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</row>
    <row r="128" spans="1:257" ht="15.5" x14ac:dyDescent="0.3">
      <c r="A128" s="422" t="s">
        <v>75</v>
      </c>
      <c r="B128" s="422"/>
      <c r="C128" s="422"/>
      <c r="D128" s="422"/>
      <c r="E128" s="422"/>
      <c r="F128" s="422"/>
      <c r="G128" s="422"/>
      <c r="H128" s="422"/>
      <c r="I128" s="57">
        <f>TRUNC(SUM(I121:I127),2)</f>
        <v>419.26</v>
      </c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</row>
    <row r="129" spans="1:257" x14ac:dyDescent="0.3">
      <c r="A129" s="419"/>
      <c r="B129" s="419"/>
      <c r="C129" s="419"/>
      <c r="D129" s="419"/>
      <c r="E129" s="419"/>
      <c r="F129" s="419"/>
      <c r="G129" s="419"/>
      <c r="H129" s="419"/>
      <c r="I129" s="419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</row>
    <row r="130" spans="1:257" x14ac:dyDescent="0.3">
      <c r="A130" s="407" t="s">
        <v>144</v>
      </c>
      <c r="B130" s="407"/>
      <c r="C130" s="407"/>
      <c r="D130" s="407"/>
      <c r="E130" s="407"/>
      <c r="F130" s="407"/>
      <c r="G130" s="407"/>
      <c r="H130" s="407"/>
      <c r="I130" s="407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</row>
    <row r="131" spans="1:257" x14ac:dyDescent="0.3">
      <c r="A131" s="202" t="s">
        <v>145</v>
      </c>
      <c r="B131" s="416" t="s">
        <v>146</v>
      </c>
      <c r="C131" s="416"/>
      <c r="D131" s="416"/>
      <c r="E131" s="416"/>
      <c r="F131" s="416"/>
      <c r="G131" s="416"/>
      <c r="H131" s="416"/>
      <c r="I131" s="50" t="s">
        <v>85</v>
      </c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</row>
    <row r="132" spans="1:257" x14ac:dyDescent="0.3">
      <c r="A132" s="18" t="s">
        <v>34</v>
      </c>
      <c r="B132" s="393" t="s">
        <v>147</v>
      </c>
      <c r="C132" s="393"/>
      <c r="D132" s="393"/>
      <c r="E132" s="393"/>
      <c r="F132" s="393"/>
      <c r="G132" s="393"/>
      <c r="H132" s="393"/>
      <c r="I132" s="16">
        <v>0</v>
      </c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</row>
    <row r="133" spans="1:257" ht="15.5" x14ac:dyDescent="0.3">
      <c r="A133" s="421" t="s">
        <v>75</v>
      </c>
      <c r="B133" s="421"/>
      <c r="C133" s="421"/>
      <c r="D133" s="421"/>
      <c r="E133" s="421"/>
      <c r="F133" s="421"/>
      <c r="G133" s="421"/>
      <c r="H133" s="421"/>
      <c r="I133" s="16">
        <v>0</v>
      </c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</row>
    <row r="134" spans="1:257" ht="14.25" customHeight="1" x14ac:dyDescent="0.3">
      <c r="A134" s="419"/>
      <c r="B134" s="419"/>
      <c r="C134" s="419"/>
      <c r="D134" s="419"/>
      <c r="E134" s="419"/>
      <c r="F134" s="419"/>
      <c r="G134" s="419"/>
      <c r="H134" s="419"/>
      <c r="I134" s="419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</row>
    <row r="135" spans="1:257" ht="17.25" customHeight="1" x14ac:dyDescent="0.3">
      <c r="A135" s="391" t="s">
        <v>148</v>
      </c>
      <c r="B135" s="391"/>
      <c r="C135" s="391"/>
      <c r="D135" s="391"/>
      <c r="E135" s="391"/>
      <c r="F135" s="391"/>
      <c r="G135" s="391"/>
      <c r="H135" s="391"/>
      <c r="I135" s="39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</row>
    <row r="136" spans="1:257" x14ac:dyDescent="0.3">
      <c r="A136" s="201">
        <v>4</v>
      </c>
      <c r="B136" s="416" t="s">
        <v>149</v>
      </c>
      <c r="C136" s="416"/>
      <c r="D136" s="416"/>
      <c r="E136" s="416"/>
      <c r="F136" s="416"/>
      <c r="G136" s="416"/>
      <c r="H136" s="416"/>
      <c r="I136" s="50" t="s">
        <v>85</v>
      </c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</row>
    <row r="137" spans="1:257" x14ac:dyDescent="0.3">
      <c r="A137" s="198" t="s">
        <v>134</v>
      </c>
      <c r="B137" s="393" t="s">
        <v>135</v>
      </c>
      <c r="C137" s="393"/>
      <c r="D137" s="393"/>
      <c r="E137" s="393"/>
      <c r="F137" s="393"/>
      <c r="G137" s="393"/>
      <c r="H137" s="393"/>
      <c r="I137" s="16">
        <f>I128</f>
        <v>419.26</v>
      </c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spans="1:257" x14ac:dyDescent="0.3">
      <c r="A138" s="198" t="s">
        <v>145</v>
      </c>
      <c r="B138" s="393" t="s">
        <v>146</v>
      </c>
      <c r="C138" s="393"/>
      <c r="D138" s="393"/>
      <c r="E138" s="393"/>
      <c r="F138" s="393"/>
      <c r="G138" s="393"/>
      <c r="H138" s="393"/>
      <c r="I138" s="16">
        <f>I133</f>
        <v>0</v>
      </c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spans="1:257" ht="14.25" customHeight="1" x14ac:dyDescent="0.3">
      <c r="A139" s="390" t="s">
        <v>75</v>
      </c>
      <c r="B139" s="390"/>
      <c r="C139" s="390"/>
      <c r="D139" s="390"/>
      <c r="E139" s="390"/>
      <c r="F139" s="390"/>
      <c r="G139" s="390"/>
      <c r="H139" s="390"/>
      <c r="I139" s="30">
        <f>TRUNC(SUM(I137:I138),2)</f>
        <v>419.26</v>
      </c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spans="1:257" x14ac:dyDescent="0.3">
      <c r="A140" s="375"/>
      <c r="B140" s="375"/>
      <c r="C140" s="375"/>
      <c r="D140" s="375"/>
      <c r="E140" s="375"/>
      <c r="F140" s="375"/>
      <c r="G140" s="375"/>
      <c r="H140" s="375"/>
      <c r="I140" s="375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spans="1:257" ht="17.25" customHeight="1" x14ac:dyDescent="0.3">
      <c r="A141" s="391" t="s">
        <v>150</v>
      </c>
      <c r="B141" s="391"/>
      <c r="C141" s="391"/>
      <c r="D141" s="391"/>
      <c r="E141" s="391"/>
      <c r="F141" s="391"/>
      <c r="G141" s="391"/>
      <c r="H141" s="391"/>
      <c r="I141" s="391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spans="1:257" ht="29" customHeight="1" x14ac:dyDescent="0.3">
      <c r="A142" s="202">
        <v>5</v>
      </c>
      <c r="B142" s="424" t="s">
        <v>151</v>
      </c>
      <c r="C142" s="425"/>
      <c r="D142" s="425"/>
      <c r="E142" s="425"/>
      <c r="F142" s="425"/>
      <c r="G142" s="426"/>
      <c r="H142" s="210" t="s">
        <v>398</v>
      </c>
      <c r="I142" s="209" t="s">
        <v>85</v>
      </c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spans="1:257" ht="14.25" customHeight="1" x14ac:dyDescent="0.3">
      <c r="A143" s="18" t="s">
        <v>34</v>
      </c>
      <c r="B143" s="443" t="s">
        <v>152</v>
      </c>
      <c r="C143" s="444"/>
      <c r="D143" s="444"/>
      <c r="E143" s="444"/>
      <c r="F143" s="444"/>
      <c r="G143" s="445"/>
      <c r="H143" s="214">
        <f>'Uniforme e Materiais - Grupo 1'!F18</f>
        <v>215.5</v>
      </c>
      <c r="I143" s="214">
        <f>H143*H37</f>
        <v>215.5</v>
      </c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spans="1:257" ht="14.25" customHeight="1" x14ac:dyDescent="0.3">
      <c r="A144" s="18" t="s">
        <v>36</v>
      </c>
      <c r="B144" s="399" t="s">
        <v>153</v>
      </c>
      <c r="C144" s="399"/>
      <c r="D144" s="399"/>
      <c r="E144" s="399"/>
      <c r="F144" s="399"/>
      <c r="G144" s="399"/>
      <c r="H144" s="399"/>
      <c r="I144" s="214">
        <f>'Uniforme e Materiais - Grupo 1'!F36</f>
        <v>241.35</v>
      </c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</row>
    <row r="145" spans="1:257" x14ac:dyDescent="0.3">
      <c r="A145" s="18" t="s">
        <v>38</v>
      </c>
      <c r="B145" s="442" t="s">
        <v>154</v>
      </c>
      <c r="C145" s="442"/>
      <c r="D145" s="442"/>
      <c r="E145" s="442"/>
      <c r="F145" s="442"/>
      <c r="G145" s="442"/>
      <c r="H145" s="442"/>
      <c r="I145" s="219">
        <v>0</v>
      </c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spans="1:257" ht="14.25" customHeight="1" x14ac:dyDescent="0.3">
      <c r="A146" s="18" t="s">
        <v>40</v>
      </c>
      <c r="B146" s="399" t="s">
        <v>155</v>
      </c>
      <c r="C146" s="399"/>
      <c r="D146" s="399"/>
      <c r="E146" s="399"/>
      <c r="F146" s="399"/>
      <c r="G146" s="399"/>
      <c r="H146" s="399"/>
      <c r="I146" s="219">
        <v>0</v>
      </c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</row>
    <row r="147" spans="1:257" x14ac:dyDescent="0.3">
      <c r="A147" s="396" t="s">
        <v>75</v>
      </c>
      <c r="B147" s="396"/>
      <c r="C147" s="396"/>
      <c r="D147" s="396"/>
      <c r="E147" s="396"/>
      <c r="F147" s="396"/>
      <c r="G147" s="396"/>
      <c r="H147" s="396"/>
      <c r="I147" s="39">
        <f>TRUNC(SUM(I143:I146),2)</f>
        <v>456.85</v>
      </c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</row>
    <row r="148" spans="1:257" x14ac:dyDescent="0.3">
      <c r="A148" s="375"/>
      <c r="B148" s="375"/>
      <c r="C148" s="375"/>
      <c r="D148" s="375"/>
      <c r="E148" s="375"/>
      <c r="F148" s="375"/>
      <c r="G148" s="375"/>
      <c r="H148" s="375"/>
      <c r="I148" s="375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</row>
    <row r="149" spans="1:257" x14ac:dyDescent="0.3">
      <c r="A149" s="423"/>
      <c r="B149" s="423"/>
      <c r="C149" s="423"/>
      <c r="D149" s="423"/>
      <c r="E149" s="423"/>
      <c r="F149" s="423"/>
      <c r="G149" s="423"/>
      <c r="H149" s="423"/>
      <c r="I149" s="423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</row>
    <row r="150" spans="1:257" ht="18" x14ac:dyDescent="0.3">
      <c r="A150" s="58"/>
      <c r="B150" s="59"/>
      <c r="C150" s="59"/>
      <c r="D150" s="59"/>
      <c r="E150" s="59"/>
      <c r="F150" s="59"/>
      <c r="G150" s="59"/>
      <c r="H150" s="59"/>
      <c r="I150" s="60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</row>
    <row r="151" spans="1:257" ht="15.5" x14ac:dyDescent="0.3">
      <c r="A151" s="398" t="s">
        <v>156</v>
      </c>
      <c r="B151" s="398"/>
      <c r="C151" s="398"/>
      <c r="D151" s="398"/>
      <c r="E151" s="398"/>
      <c r="F151" s="398"/>
      <c r="G151" s="398"/>
      <c r="H151" s="398"/>
      <c r="I151" s="398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</row>
    <row r="152" spans="1:257" ht="28" x14ac:dyDescent="0.3">
      <c r="A152" s="202">
        <v>6</v>
      </c>
      <c r="B152" s="416" t="s">
        <v>157</v>
      </c>
      <c r="C152" s="416"/>
      <c r="D152" s="416"/>
      <c r="E152" s="416"/>
      <c r="F152" s="416"/>
      <c r="G152" s="416"/>
      <c r="H152" s="26" t="s">
        <v>84</v>
      </c>
      <c r="I152" s="61" t="s">
        <v>67</v>
      </c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</row>
    <row r="153" spans="1:257" ht="13.5" customHeight="1" x14ac:dyDescent="0.3">
      <c r="A153" s="394" t="s">
        <v>158</v>
      </c>
      <c r="B153" s="394"/>
      <c r="C153" s="394"/>
      <c r="D153" s="394"/>
      <c r="E153" s="394"/>
      <c r="F153" s="394"/>
      <c r="G153" s="394"/>
      <c r="H153" s="18" t="s">
        <v>164</v>
      </c>
      <c r="I153" s="16">
        <f>(I53+I104+I114+I139+I147)</f>
        <v>5276.1800000000012</v>
      </c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</row>
    <row r="154" spans="1:257" ht="15.5" x14ac:dyDescent="0.3">
      <c r="A154" s="62" t="s">
        <v>34</v>
      </c>
      <c r="B154" s="391" t="s">
        <v>159</v>
      </c>
      <c r="C154" s="391"/>
      <c r="D154" s="391"/>
      <c r="E154" s="391"/>
      <c r="F154" s="391"/>
      <c r="G154" s="391"/>
      <c r="H154" s="213">
        <f>'Inserir dados na planilha'!I57</f>
        <v>0.05</v>
      </c>
      <c r="I154" s="212">
        <f>ROUNDUP(H154*I153,2)</f>
        <v>263.81</v>
      </c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</row>
    <row r="155" spans="1:257" ht="13.5" customHeight="1" x14ac:dyDescent="0.3">
      <c r="A155" s="394" t="s">
        <v>160</v>
      </c>
      <c r="B155" s="394"/>
      <c r="C155" s="394"/>
      <c r="D155" s="394"/>
      <c r="E155" s="394"/>
      <c r="F155" s="394"/>
      <c r="G155" s="394"/>
      <c r="H155" s="257" t="s">
        <v>164</v>
      </c>
      <c r="I155" s="212">
        <f>(I53+I104+I114+I139+I147+I154)</f>
        <v>5539.9900000000016</v>
      </c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</row>
    <row r="156" spans="1:257" ht="15.5" x14ac:dyDescent="0.3">
      <c r="A156" s="62" t="s">
        <v>36</v>
      </c>
      <c r="B156" s="398" t="s">
        <v>161</v>
      </c>
      <c r="C156" s="398"/>
      <c r="D156" s="398"/>
      <c r="E156" s="398"/>
      <c r="F156" s="398"/>
      <c r="G156" s="398"/>
      <c r="H156" s="213">
        <f>'Inserir dados na planilha'!I58</f>
        <v>0.1</v>
      </c>
      <c r="I156" s="212">
        <f>ROUNDUP(H156*I155,2)</f>
        <v>554</v>
      </c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</row>
    <row r="157" spans="1:257" ht="13.5" customHeight="1" x14ac:dyDescent="0.3">
      <c r="A157" s="394" t="s">
        <v>162</v>
      </c>
      <c r="B157" s="394"/>
      <c r="C157" s="394"/>
      <c r="D157" s="394"/>
      <c r="E157" s="394"/>
      <c r="F157" s="394"/>
      <c r="G157" s="394"/>
      <c r="H157" s="266" t="s">
        <v>164</v>
      </c>
      <c r="I157" s="212">
        <f>(I53+I104+I114+I139+I147+I154+I156)</f>
        <v>6093.9900000000016</v>
      </c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</row>
    <row r="158" spans="1:257" ht="15.5" x14ac:dyDescent="0.3">
      <c r="A158" s="62" t="s">
        <v>38</v>
      </c>
      <c r="B158" s="398" t="s">
        <v>163</v>
      </c>
      <c r="C158" s="398"/>
      <c r="D158" s="398"/>
      <c r="E158" s="398"/>
      <c r="F158" s="398"/>
      <c r="G158" s="398"/>
      <c r="H158" s="266" t="s">
        <v>164</v>
      </c>
      <c r="I158" s="211" t="s">
        <v>164</v>
      </c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</row>
    <row r="159" spans="1:257" ht="15.5" x14ac:dyDescent="0.3">
      <c r="A159" s="18"/>
      <c r="B159" s="398" t="s">
        <v>165</v>
      </c>
      <c r="C159" s="398"/>
      <c r="D159" s="398"/>
      <c r="E159" s="398"/>
      <c r="F159" s="398"/>
      <c r="G159" s="398"/>
      <c r="H159" s="266" t="s">
        <v>164</v>
      </c>
      <c r="I159" s="211" t="s">
        <v>164</v>
      </c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</row>
    <row r="160" spans="1:257" ht="15.5" x14ac:dyDescent="0.3">
      <c r="A160" s="18"/>
      <c r="B160" s="391" t="s">
        <v>166</v>
      </c>
      <c r="C160" s="391"/>
      <c r="D160" s="391"/>
      <c r="E160" s="391"/>
      <c r="F160" s="391"/>
      <c r="G160" s="391"/>
      <c r="H160" s="213">
        <f>'Inserir dados na planilha'!I59</f>
        <v>0.03</v>
      </c>
      <c r="I160" s="212">
        <f>ROUNDUP(($I$157/(1-$H$167))*H160,2)</f>
        <v>200.14</v>
      </c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spans="1:257" ht="15.5" x14ac:dyDescent="0.3">
      <c r="A161" s="18"/>
      <c r="B161" s="391" t="s">
        <v>167</v>
      </c>
      <c r="C161" s="391"/>
      <c r="D161" s="391"/>
      <c r="E161" s="391"/>
      <c r="F161" s="391"/>
      <c r="G161" s="391"/>
      <c r="H161" s="213">
        <f>'Inserir dados na planilha'!I60</f>
        <v>6.4999999999999997E-3</v>
      </c>
      <c r="I161" s="212">
        <f>ROUNDUP(($I$157/(1-$H$167))*H161,2)</f>
        <v>43.37</v>
      </c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</row>
    <row r="162" spans="1:257" ht="14.25" customHeight="1" x14ac:dyDescent="0.3">
      <c r="A162" s="18"/>
      <c r="B162" s="389" t="s">
        <v>168</v>
      </c>
      <c r="C162" s="389"/>
      <c r="D162" s="389"/>
      <c r="E162" s="389"/>
      <c r="F162" s="389"/>
      <c r="G162" s="389"/>
      <c r="H162" s="266" t="s">
        <v>164</v>
      </c>
      <c r="I162" s="36" t="s">
        <v>164</v>
      </c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</row>
    <row r="163" spans="1:257" ht="17.25" customHeight="1" x14ac:dyDescent="0.3">
      <c r="A163" s="18"/>
      <c r="B163" s="391" t="s">
        <v>169</v>
      </c>
      <c r="C163" s="391"/>
      <c r="D163" s="391"/>
      <c r="E163" s="391"/>
      <c r="F163" s="391"/>
      <c r="G163" s="391"/>
      <c r="H163" s="20" t="s">
        <v>164</v>
      </c>
      <c r="I163" s="36" t="s">
        <v>164</v>
      </c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</row>
    <row r="164" spans="1:257" x14ac:dyDescent="0.3">
      <c r="A164" s="18"/>
      <c r="B164" s="359" t="s">
        <v>383</v>
      </c>
      <c r="C164" s="359"/>
      <c r="D164" s="359"/>
      <c r="E164" s="359"/>
      <c r="F164" s="359"/>
      <c r="G164" s="359"/>
      <c r="H164" s="213">
        <f>'Inserir dados na planilha'!I62</f>
        <v>0.05</v>
      </c>
      <c r="I164" s="16">
        <f>ROUNDUP(($I$157/(1-$H$167))*H164,2)</f>
        <v>333.56</v>
      </c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</row>
    <row r="165" spans="1:257" x14ac:dyDescent="0.3">
      <c r="A165" s="396" t="s">
        <v>75</v>
      </c>
      <c r="B165" s="396"/>
      <c r="C165" s="396"/>
      <c r="D165" s="396"/>
      <c r="E165" s="396"/>
      <c r="F165" s="396"/>
      <c r="G165" s="396"/>
      <c r="H165" s="396"/>
      <c r="I165" s="30">
        <f>SUM(I154+I156+I160+I161+I164)</f>
        <v>1394.8799999999999</v>
      </c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</row>
    <row r="166" spans="1:257" x14ac:dyDescent="0.3">
      <c r="A166" s="375"/>
      <c r="B166" s="375"/>
      <c r="C166" s="375"/>
      <c r="D166" s="375"/>
      <c r="E166" s="375"/>
      <c r="F166" s="375"/>
      <c r="G166" s="375"/>
      <c r="H166" s="375"/>
      <c r="I166" s="375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</row>
    <row r="167" spans="1:257" ht="14.25" customHeight="1" x14ac:dyDescent="0.3">
      <c r="A167" s="427" t="s">
        <v>170</v>
      </c>
      <c r="B167" s="427"/>
      <c r="C167" s="427"/>
      <c r="D167" s="427"/>
      <c r="E167" s="427"/>
      <c r="F167" s="427"/>
      <c r="G167" s="427"/>
      <c r="H167" s="28">
        <f>SUM(H160:H164)</f>
        <v>8.6499999999999994E-2</v>
      </c>
      <c r="I167" s="16">
        <f>SUM(I160:I164)</f>
        <v>577.06999999999994</v>
      </c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</row>
    <row r="168" spans="1:257" x14ac:dyDescent="0.3">
      <c r="A168" s="428" t="s">
        <v>171</v>
      </c>
      <c r="B168" s="428"/>
      <c r="C168" s="429" t="s">
        <v>172</v>
      </c>
      <c r="D168" s="429"/>
      <c r="E168" s="429"/>
      <c r="F168" s="429"/>
      <c r="G168" s="429"/>
      <c r="H168" s="429"/>
      <c r="I168" s="429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</row>
    <row r="169" spans="1:257" x14ac:dyDescent="0.3">
      <c r="A169" s="428"/>
      <c r="B169" s="428"/>
      <c r="C169" s="430" t="s">
        <v>173</v>
      </c>
      <c r="D169" s="430"/>
      <c r="E169" s="430"/>
      <c r="F169" s="430"/>
      <c r="G169" s="430"/>
      <c r="H169" s="430"/>
      <c r="I169" s="430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</row>
    <row r="170" spans="1:257" x14ac:dyDescent="0.3">
      <c r="A170" s="428"/>
      <c r="B170" s="428"/>
      <c r="C170" s="431" t="s">
        <v>174</v>
      </c>
      <c r="D170" s="431"/>
      <c r="E170" s="431"/>
      <c r="F170" s="431"/>
      <c r="G170" s="431"/>
      <c r="H170" s="431"/>
      <c r="I170" s="431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spans="1:257" x14ac:dyDescent="0.3">
      <c r="A171" s="433"/>
      <c r="B171" s="433"/>
      <c r="C171" s="433"/>
      <c r="D171" s="433"/>
      <c r="E171" s="433"/>
      <c r="F171" s="433"/>
      <c r="G171" s="433"/>
      <c r="H171" s="433"/>
      <c r="I171" s="433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spans="1:257" x14ac:dyDescent="0.3">
      <c r="A172" s="408"/>
      <c r="B172" s="408"/>
      <c r="C172" s="408"/>
      <c r="D172" s="408"/>
      <c r="E172" s="408"/>
      <c r="F172" s="408"/>
      <c r="G172" s="408"/>
      <c r="H172" s="408"/>
      <c r="I172" s="408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spans="1:257" x14ac:dyDescent="0.3">
      <c r="A173" s="375"/>
      <c r="B173" s="375"/>
      <c r="C173" s="375"/>
      <c r="D173" s="375"/>
      <c r="E173" s="375"/>
      <c r="F173" s="375"/>
      <c r="G173" s="375"/>
      <c r="H173" s="375"/>
      <c r="I173" s="375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spans="1:257" ht="39" customHeight="1" x14ac:dyDescent="0.3">
      <c r="A174" s="434" t="s">
        <v>175</v>
      </c>
      <c r="B174" s="434"/>
      <c r="C174" s="434"/>
      <c r="D174" s="434"/>
      <c r="E174" s="434"/>
      <c r="F174" s="434"/>
      <c r="G174" s="434"/>
      <c r="H174" s="434"/>
      <c r="I174" s="43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</row>
    <row r="175" spans="1:257" ht="24.75" customHeight="1" x14ac:dyDescent="0.3">
      <c r="A175" s="435" t="s">
        <v>176</v>
      </c>
      <c r="B175" s="435"/>
      <c r="C175" s="435"/>
      <c r="D175" s="435"/>
      <c r="E175" s="435"/>
      <c r="F175" s="435"/>
      <c r="G175" s="435"/>
      <c r="H175" s="435"/>
      <c r="I175" s="199" t="s">
        <v>85</v>
      </c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spans="1:257" ht="14.25" customHeight="1" x14ac:dyDescent="0.3">
      <c r="A176" s="63" t="s">
        <v>34</v>
      </c>
      <c r="B176" s="359" t="s">
        <v>177</v>
      </c>
      <c r="C176" s="359"/>
      <c r="D176" s="359"/>
      <c r="E176" s="359"/>
      <c r="F176" s="359"/>
      <c r="G176" s="359"/>
      <c r="H176" s="359"/>
      <c r="I176" s="37">
        <f>I53</f>
        <v>2284.36</v>
      </c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</row>
    <row r="177" spans="1:257" ht="14.25" customHeight="1" x14ac:dyDescent="0.3">
      <c r="A177" s="63" t="s">
        <v>36</v>
      </c>
      <c r="B177" s="359" t="s">
        <v>80</v>
      </c>
      <c r="C177" s="359"/>
      <c r="D177" s="359"/>
      <c r="E177" s="359"/>
      <c r="F177" s="359"/>
      <c r="G177" s="359"/>
      <c r="H177" s="359"/>
      <c r="I177" s="37">
        <f>I104</f>
        <v>1940.49</v>
      </c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spans="1:257" ht="14.25" customHeight="1" x14ac:dyDescent="0.3">
      <c r="A178" s="63" t="s">
        <v>38</v>
      </c>
      <c r="B178" s="359" t="s">
        <v>178</v>
      </c>
      <c r="C178" s="359"/>
      <c r="D178" s="359"/>
      <c r="E178" s="359"/>
      <c r="F178" s="359"/>
      <c r="G178" s="359"/>
      <c r="H178" s="359"/>
      <c r="I178" s="37">
        <f>I114</f>
        <v>175.22</v>
      </c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spans="1:257" ht="14.25" customHeight="1" x14ac:dyDescent="0.3">
      <c r="A179" s="63" t="s">
        <v>40</v>
      </c>
      <c r="B179" s="359" t="s">
        <v>179</v>
      </c>
      <c r="C179" s="359"/>
      <c r="D179" s="359"/>
      <c r="E179" s="359"/>
      <c r="F179" s="359"/>
      <c r="G179" s="359"/>
      <c r="H179" s="359"/>
      <c r="I179" s="37">
        <f>I139</f>
        <v>419.26</v>
      </c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</row>
    <row r="180" spans="1:257" ht="14.25" customHeight="1" x14ac:dyDescent="0.3">
      <c r="A180" s="63" t="s">
        <v>73</v>
      </c>
      <c r="B180" s="359" t="s">
        <v>180</v>
      </c>
      <c r="C180" s="359"/>
      <c r="D180" s="359"/>
      <c r="E180" s="359"/>
      <c r="F180" s="359"/>
      <c r="G180" s="359"/>
      <c r="H180" s="359"/>
      <c r="I180" s="37">
        <f>I147</f>
        <v>456.85</v>
      </c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spans="1:257" ht="14.25" customHeight="1" x14ac:dyDescent="0.3">
      <c r="A181" s="432" t="s">
        <v>181</v>
      </c>
      <c r="B181" s="432"/>
      <c r="C181" s="432"/>
      <c r="D181" s="432"/>
      <c r="E181" s="432"/>
      <c r="F181" s="432"/>
      <c r="G181" s="432"/>
      <c r="H181" s="432"/>
      <c r="I181" s="39">
        <f>TRUNC(SUM(I176:I180),2)</f>
        <v>5276.18</v>
      </c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spans="1:257" ht="14.25" customHeight="1" x14ac:dyDescent="0.3">
      <c r="A182" s="64" t="s">
        <v>76</v>
      </c>
      <c r="B182" s="367" t="s">
        <v>182</v>
      </c>
      <c r="C182" s="367"/>
      <c r="D182" s="367"/>
      <c r="E182" s="367"/>
      <c r="F182" s="367"/>
      <c r="G182" s="367"/>
      <c r="H182" s="367"/>
      <c r="I182" s="37">
        <f>I165</f>
        <v>1394.8799999999999</v>
      </c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spans="1:257" ht="14.25" customHeight="1" x14ac:dyDescent="0.3">
      <c r="A183" s="432" t="s">
        <v>183</v>
      </c>
      <c r="B183" s="432"/>
      <c r="C183" s="432"/>
      <c r="D183" s="432"/>
      <c r="E183" s="432"/>
      <c r="F183" s="432"/>
      <c r="G183" s="432"/>
      <c r="H183" s="432"/>
      <c r="I183" s="39">
        <f>TRUNC(SUM(I181:I182),2)</f>
        <v>6671.06</v>
      </c>
      <c r="J183" s="40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spans="1:257" ht="14.25" customHeight="1" x14ac:dyDescent="0.3">
      <c r="A184" s="432" t="s">
        <v>184</v>
      </c>
      <c r="B184" s="432"/>
      <c r="C184" s="432"/>
      <c r="D184" s="432"/>
      <c r="E184" s="432"/>
      <c r="F184" s="432"/>
      <c r="G184" s="432"/>
      <c r="H184" s="432"/>
      <c r="I184" s="65">
        <v>1</v>
      </c>
      <c r="J184" s="40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spans="1:257" ht="14.25" customHeight="1" x14ac:dyDescent="0.3">
      <c r="A185" s="432" t="s">
        <v>185</v>
      </c>
      <c r="B185" s="432"/>
      <c r="C185" s="432"/>
      <c r="D185" s="432"/>
      <c r="E185" s="432"/>
      <c r="F185" s="432"/>
      <c r="G185" s="432"/>
      <c r="H185" s="432"/>
      <c r="I185" s="39">
        <f>I183/H37</f>
        <v>6671.06</v>
      </c>
      <c r="J185" s="40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spans="1:257" ht="14.25" customHeight="1" x14ac:dyDescent="0.3">
      <c r="A186" s="432" t="s">
        <v>186</v>
      </c>
      <c r="B186" s="432"/>
      <c r="C186" s="432"/>
      <c r="D186" s="432"/>
      <c r="E186" s="432"/>
      <c r="F186" s="432"/>
      <c r="G186" s="432"/>
      <c r="H186" s="432"/>
      <c r="I186" s="65">
        <f>H37*I184</f>
        <v>1</v>
      </c>
      <c r="J186" s="40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spans="1:257" ht="14.25" customHeight="1" x14ac:dyDescent="0.3">
      <c r="A187" s="375"/>
      <c r="B187" s="375"/>
      <c r="C187" s="375"/>
      <c r="D187" s="375"/>
      <c r="E187" s="375"/>
      <c r="F187" s="375"/>
      <c r="G187" s="375"/>
      <c r="H187" s="375"/>
      <c r="I187" s="375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spans="1:257" ht="14.25" customHeight="1" x14ac:dyDescent="0.3">
      <c r="A188" s="432" t="s">
        <v>187</v>
      </c>
      <c r="B188" s="432"/>
      <c r="C188" s="432"/>
      <c r="D188" s="432"/>
      <c r="E188" s="432"/>
      <c r="F188" s="432"/>
      <c r="G188" s="432"/>
      <c r="H188" s="432"/>
      <c r="I188" s="37">
        <f>I183*I184</f>
        <v>6671.06</v>
      </c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spans="1:257" ht="14.25" customHeight="1" x14ac:dyDescent="0.3">
      <c r="A189" s="375"/>
      <c r="B189" s="375"/>
      <c r="C189" s="375"/>
      <c r="D189" s="375"/>
      <c r="E189" s="375"/>
      <c r="F189" s="375"/>
      <c r="G189" s="375"/>
      <c r="H189" s="375"/>
      <c r="I189" s="375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spans="1:257" ht="18.75" customHeight="1" x14ac:dyDescent="0.3">
      <c r="A190" s="437" t="s">
        <v>188</v>
      </c>
      <c r="B190" s="437"/>
      <c r="C190" s="437"/>
      <c r="D190" s="437"/>
      <c r="E190" s="437"/>
      <c r="F190" s="437"/>
      <c r="G190" s="441">
        <f>I188</f>
        <v>6671.06</v>
      </c>
      <c r="H190" s="441"/>
      <c r="I190" s="441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</row>
    <row r="191" spans="1:257" x14ac:dyDescent="0.3">
      <c r="A191" s="436"/>
      <c r="B191" s="436"/>
      <c r="C191" s="436"/>
      <c r="D191" s="436"/>
      <c r="E191" s="436"/>
      <c r="F191" s="436"/>
      <c r="G191" s="436"/>
      <c r="H191" s="436"/>
      <c r="I191" s="436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spans="1:257" ht="18.75" customHeight="1" x14ac:dyDescent="0.3">
      <c r="A192" s="437" t="s">
        <v>189</v>
      </c>
      <c r="B192" s="437"/>
      <c r="C192" s="437"/>
      <c r="D192" s="437"/>
      <c r="E192" s="437"/>
      <c r="F192" s="437"/>
      <c r="G192" s="438">
        <f>H9</f>
        <v>24</v>
      </c>
      <c r="H192" s="438"/>
      <c r="I192" s="438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</row>
    <row r="193" spans="1:257" ht="18.75" customHeight="1" x14ac:dyDescent="0.3">
      <c r="A193" s="436"/>
      <c r="B193" s="436"/>
      <c r="C193" s="436"/>
      <c r="D193" s="436"/>
      <c r="E193" s="436"/>
      <c r="F193" s="436"/>
      <c r="G193" s="436"/>
      <c r="H193" s="436"/>
      <c r="I193" s="436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</row>
    <row r="194" spans="1:257" ht="31.5" customHeight="1" x14ac:dyDescent="0.3">
      <c r="A194" s="439" t="s">
        <v>190</v>
      </c>
      <c r="B194" s="439"/>
      <c r="C194" s="439"/>
      <c r="D194" s="439"/>
      <c r="E194" s="439"/>
      <c r="F194" s="439"/>
      <c r="G194" s="440">
        <f>G190*G192</f>
        <v>160105.44</v>
      </c>
      <c r="H194" s="440"/>
      <c r="I194" s="440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</row>
    <row r="195" spans="1:257" ht="14.25" customHeight="1" x14ac:dyDescent="0.3">
      <c r="A195" s="375"/>
      <c r="B195" s="375"/>
      <c r="C195" s="375"/>
      <c r="D195" s="375"/>
      <c r="E195" s="375"/>
      <c r="F195" s="375"/>
      <c r="G195" s="375"/>
      <c r="H195" s="375"/>
      <c r="I195" s="375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</row>
  </sheetData>
  <sheetProtection algorithmName="SHA-512" hashValue="yV82j1SnTfOUv5TIIFxGk6W2LTFbM8uffHXulySWY/b33cQVlwxTzzxfA8XlSOrAS0VwCRnSwDooJYR5pPKnWg==" saltValue="zLVFQyditM/SuAsqiOHitw==" spinCount="100000" sheet="1" objects="1" scenarios="1"/>
  <mergeCells count="257">
    <mergeCell ref="A5:I5"/>
    <mergeCell ref="B6:G6"/>
    <mergeCell ref="H6:I6"/>
    <mergeCell ref="B7:G7"/>
    <mergeCell ref="H7:I7"/>
    <mergeCell ref="B8:G8"/>
    <mergeCell ref="H8:I8"/>
    <mergeCell ref="A1:I1"/>
    <mergeCell ref="A2:E2"/>
    <mergeCell ref="F2:I2"/>
    <mergeCell ref="A3:E3"/>
    <mergeCell ref="F3:I3"/>
    <mergeCell ref="A4:E4"/>
    <mergeCell ref="F4:I4"/>
    <mergeCell ref="A12:E12"/>
    <mergeCell ref="F12:G12"/>
    <mergeCell ref="H12:I12"/>
    <mergeCell ref="A13:I13"/>
    <mergeCell ref="A14:I14"/>
    <mergeCell ref="A15:I15"/>
    <mergeCell ref="B9:G9"/>
    <mergeCell ref="H9:I9"/>
    <mergeCell ref="A10:I10"/>
    <mergeCell ref="A11:E11"/>
    <mergeCell ref="F11:G11"/>
    <mergeCell ref="H11:I11"/>
    <mergeCell ref="J20:P20"/>
    <mergeCell ref="Q20:X20"/>
    <mergeCell ref="Y20:AF20"/>
    <mergeCell ref="AG20:AN20"/>
    <mergeCell ref="AO20:AV20"/>
    <mergeCell ref="AW20:BD20"/>
    <mergeCell ref="A16:I16"/>
    <mergeCell ref="A17:I17"/>
    <mergeCell ref="A18:I18"/>
    <mergeCell ref="B19:G19"/>
    <mergeCell ref="H19:I19"/>
    <mergeCell ref="B20:G20"/>
    <mergeCell ref="H20:I20"/>
    <mergeCell ref="GK20:GR20"/>
    <mergeCell ref="DA20:DH20"/>
    <mergeCell ref="DI20:DP20"/>
    <mergeCell ref="DQ20:DX20"/>
    <mergeCell ref="DY20:EF20"/>
    <mergeCell ref="EG20:EN20"/>
    <mergeCell ref="EO20:EV20"/>
    <mergeCell ref="BE20:BL20"/>
    <mergeCell ref="BM20:BT20"/>
    <mergeCell ref="BU20:CB20"/>
    <mergeCell ref="CC20:CJ20"/>
    <mergeCell ref="CK20:CR20"/>
    <mergeCell ref="CS20:CZ20"/>
    <mergeCell ref="B24:F24"/>
    <mergeCell ref="H24:I24"/>
    <mergeCell ref="B25:G25"/>
    <mergeCell ref="H25:I25"/>
    <mergeCell ref="B26:G26"/>
    <mergeCell ref="H26:I26"/>
    <mergeCell ref="IO20:IV20"/>
    <mergeCell ref="B21:G21"/>
    <mergeCell ref="H21:I21"/>
    <mergeCell ref="B22:G22"/>
    <mergeCell ref="H22:I22"/>
    <mergeCell ref="B23:G23"/>
    <mergeCell ref="H23:I23"/>
    <mergeCell ref="GS20:GZ20"/>
    <mergeCell ref="HA20:HH20"/>
    <mergeCell ref="HI20:HP20"/>
    <mergeCell ref="HQ20:HX20"/>
    <mergeCell ref="HY20:IF20"/>
    <mergeCell ref="IG20:IN20"/>
    <mergeCell ref="EW20:FD20"/>
    <mergeCell ref="FE20:FL20"/>
    <mergeCell ref="FM20:FT20"/>
    <mergeCell ref="FU20:GB20"/>
    <mergeCell ref="GC20:GJ20"/>
    <mergeCell ref="B30:G30"/>
    <mergeCell ref="H30:I30"/>
    <mergeCell ref="B31:G31"/>
    <mergeCell ref="H31:I31"/>
    <mergeCell ref="B32:G32"/>
    <mergeCell ref="H32:I32"/>
    <mergeCell ref="B27:G27"/>
    <mergeCell ref="H27:I27"/>
    <mergeCell ref="B28:G28"/>
    <mergeCell ref="H28:I28"/>
    <mergeCell ref="B29:G29"/>
    <mergeCell ref="H29:I29"/>
    <mergeCell ref="B36:G36"/>
    <mergeCell ref="H36:I36"/>
    <mergeCell ref="B37:G37"/>
    <mergeCell ref="H37:I37"/>
    <mergeCell ref="A38:I38"/>
    <mergeCell ref="A39:I39"/>
    <mergeCell ref="B33:G33"/>
    <mergeCell ref="H33:I33"/>
    <mergeCell ref="B34:G34"/>
    <mergeCell ref="H34:I34"/>
    <mergeCell ref="B35:G35"/>
    <mergeCell ref="H35:I35"/>
    <mergeCell ref="B46:G46"/>
    <mergeCell ref="B47:H47"/>
    <mergeCell ref="A48:H48"/>
    <mergeCell ref="A49:I49"/>
    <mergeCell ref="B50:H50"/>
    <mergeCell ref="A51:H51"/>
    <mergeCell ref="A40:I40"/>
    <mergeCell ref="A41:I41"/>
    <mergeCell ref="B42:G42"/>
    <mergeCell ref="B43:G43"/>
    <mergeCell ref="B44:G44"/>
    <mergeCell ref="B45:G45"/>
    <mergeCell ref="A58:I58"/>
    <mergeCell ref="B59:G59"/>
    <mergeCell ref="B60:G60"/>
    <mergeCell ref="B61:G61"/>
    <mergeCell ref="A62:H62"/>
    <mergeCell ref="A63:I63"/>
    <mergeCell ref="A52:I52"/>
    <mergeCell ref="A53:H53"/>
    <mergeCell ref="A54:I54"/>
    <mergeCell ref="A55:I55"/>
    <mergeCell ref="A56:I56"/>
    <mergeCell ref="A57:I57"/>
    <mergeCell ref="B70:C70"/>
    <mergeCell ref="B71:G71"/>
    <mergeCell ref="B72:G72"/>
    <mergeCell ref="B73:G73"/>
    <mergeCell ref="B74:G74"/>
    <mergeCell ref="B75:G75"/>
    <mergeCell ref="A64:I64"/>
    <mergeCell ref="A65:I65"/>
    <mergeCell ref="A66:I66"/>
    <mergeCell ref="B67:G67"/>
    <mergeCell ref="B68:G68"/>
    <mergeCell ref="B69:G69"/>
    <mergeCell ref="B83:G83"/>
    <mergeCell ref="B84:G84"/>
    <mergeCell ref="B85:G85"/>
    <mergeCell ref="B86:G86"/>
    <mergeCell ref="B87:H87"/>
    <mergeCell ref="B88:G88"/>
    <mergeCell ref="A76:G76"/>
    <mergeCell ref="A78:I78"/>
    <mergeCell ref="A79:I79"/>
    <mergeCell ref="A80:I80"/>
    <mergeCell ref="B81:H81"/>
    <mergeCell ref="B82:H82"/>
    <mergeCell ref="B95:H95"/>
    <mergeCell ref="A96:I96"/>
    <mergeCell ref="A97:I97"/>
    <mergeCell ref="A98:I98"/>
    <mergeCell ref="A99:I99"/>
    <mergeCell ref="B100:H100"/>
    <mergeCell ref="B89:G89"/>
    <mergeCell ref="B91:G91"/>
    <mergeCell ref="B92:G92"/>
    <mergeCell ref="B90:F90"/>
    <mergeCell ref="B93:G93"/>
    <mergeCell ref="B94:G94"/>
    <mergeCell ref="B107:G107"/>
    <mergeCell ref="B108:G108"/>
    <mergeCell ref="B109:G109"/>
    <mergeCell ref="B110:G110"/>
    <mergeCell ref="B111:G111"/>
    <mergeCell ref="B112:G112"/>
    <mergeCell ref="B101:H101"/>
    <mergeCell ref="B102:H102"/>
    <mergeCell ref="B103:H103"/>
    <mergeCell ref="A104:H104"/>
    <mergeCell ref="A105:I105"/>
    <mergeCell ref="A106:I106"/>
    <mergeCell ref="B120:G120"/>
    <mergeCell ref="B121:G121"/>
    <mergeCell ref="B122:G122"/>
    <mergeCell ref="B123:G123"/>
    <mergeCell ref="B124:G124"/>
    <mergeCell ref="B125:G125"/>
    <mergeCell ref="B113:G113"/>
    <mergeCell ref="A114:H114"/>
    <mergeCell ref="A115:I115"/>
    <mergeCell ref="A116:I116"/>
    <mergeCell ref="A117:I117"/>
    <mergeCell ref="A119:I119"/>
    <mergeCell ref="B132:H132"/>
    <mergeCell ref="A133:H133"/>
    <mergeCell ref="A134:I134"/>
    <mergeCell ref="A135:I135"/>
    <mergeCell ref="B136:H136"/>
    <mergeCell ref="B137:H137"/>
    <mergeCell ref="B126:G126"/>
    <mergeCell ref="B127:G127"/>
    <mergeCell ref="A128:H128"/>
    <mergeCell ref="A129:I129"/>
    <mergeCell ref="A130:I130"/>
    <mergeCell ref="B131:H131"/>
    <mergeCell ref="B144:H144"/>
    <mergeCell ref="B145:H145"/>
    <mergeCell ref="B146:H146"/>
    <mergeCell ref="A147:H147"/>
    <mergeCell ref="A148:I148"/>
    <mergeCell ref="A149:I149"/>
    <mergeCell ref="B138:H138"/>
    <mergeCell ref="A139:H139"/>
    <mergeCell ref="A140:I140"/>
    <mergeCell ref="A141:I141"/>
    <mergeCell ref="B142:G142"/>
    <mergeCell ref="B143:G143"/>
    <mergeCell ref="A157:G157"/>
    <mergeCell ref="B158:G158"/>
    <mergeCell ref="B159:G159"/>
    <mergeCell ref="B160:G160"/>
    <mergeCell ref="B161:G161"/>
    <mergeCell ref="B162:G162"/>
    <mergeCell ref="A151:I151"/>
    <mergeCell ref="B152:G152"/>
    <mergeCell ref="A153:G153"/>
    <mergeCell ref="B154:G154"/>
    <mergeCell ref="A155:G155"/>
    <mergeCell ref="B156:G156"/>
    <mergeCell ref="A171:I171"/>
    <mergeCell ref="A172:I172"/>
    <mergeCell ref="A173:I173"/>
    <mergeCell ref="A174:I174"/>
    <mergeCell ref="A175:H175"/>
    <mergeCell ref="B176:H176"/>
    <mergeCell ref="B163:G163"/>
    <mergeCell ref="B164:G164"/>
    <mergeCell ref="A165:H165"/>
    <mergeCell ref="A166:I166"/>
    <mergeCell ref="A167:G167"/>
    <mergeCell ref="A168:B170"/>
    <mergeCell ref="C168:I168"/>
    <mergeCell ref="C169:I169"/>
    <mergeCell ref="C170:I170"/>
    <mergeCell ref="A183:H183"/>
    <mergeCell ref="A184:H184"/>
    <mergeCell ref="A185:H185"/>
    <mergeCell ref="A186:H186"/>
    <mergeCell ref="A187:I187"/>
    <mergeCell ref="A188:H188"/>
    <mergeCell ref="B177:H177"/>
    <mergeCell ref="B178:H178"/>
    <mergeCell ref="B179:H179"/>
    <mergeCell ref="B180:H180"/>
    <mergeCell ref="A181:H181"/>
    <mergeCell ref="B182:H182"/>
    <mergeCell ref="A193:I193"/>
    <mergeCell ref="A194:F194"/>
    <mergeCell ref="G194:I194"/>
    <mergeCell ref="A195:I195"/>
    <mergeCell ref="A189:I189"/>
    <mergeCell ref="A190:F190"/>
    <mergeCell ref="G190:I190"/>
    <mergeCell ref="A191:I191"/>
    <mergeCell ref="A192:F192"/>
    <mergeCell ref="G192:I192"/>
  </mergeCells>
  <pageMargins left="0.51181102362204722" right="0.51181102362204722" top="0.78740157480314965" bottom="0.78740157480314965" header="0.31496062992125984" footer="0.31496062992125984"/>
  <pageSetup paperSize="9" orientation="portrait" r:id="rId1"/>
  <headerFooter>
    <oddHeader>&amp;L&amp;A</oddHeader>
    <oddFooter>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53FB7-6855-46FD-9848-C000F28166F7}">
  <dimension ref="A1:IW195"/>
  <sheetViews>
    <sheetView topLeftCell="A77" workbookViewId="0">
      <selection activeCell="H88" sqref="H88"/>
    </sheetView>
  </sheetViews>
  <sheetFormatPr defaultColWidth="10.5" defaultRowHeight="14" x14ac:dyDescent="0.3"/>
  <cols>
    <col min="1" max="1" width="8.75" customWidth="1"/>
    <col min="2" max="2" width="9.08203125" customWidth="1"/>
    <col min="3" max="3" width="8" customWidth="1"/>
    <col min="4" max="4" width="11.33203125" customWidth="1"/>
    <col min="5" max="6" width="8" customWidth="1"/>
    <col min="7" max="7" width="10.1640625" customWidth="1"/>
    <col min="8" max="8" width="10.6640625" customWidth="1"/>
    <col min="9" max="9" width="10.25" customWidth="1"/>
    <col min="10" max="10" width="9.83203125" customWidth="1"/>
    <col min="11" max="257" width="8" customWidth="1"/>
  </cols>
  <sheetData>
    <row r="1" spans="1:257" ht="70.5" customHeight="1" x14ac:dyDescent="0.3">
      <c r="A1" s="364" t="s">
        <v>30</v>
      </c>
      <c r="B1" s="364"/>
      <c r="C1" s="364"/>
      <c r="D1" s="364"/>
      <c r="E1" s="364"/>
      <c r="F1" s="364"/>
      <c r="G1" s="364"/>
      <c r="H1" s="364"/>
      <c r="I1" s="36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spans="1:257" ht="14.25" customHeight="1" x14ac:dyDescent="0.3">
      <c r="A2" s="359" t="s">
        <v>31</v>
      </c>
      <c r="B2" s="359"/>
      <c r="C2" s="359"/>
      <c r="D2" s="359"/>
      <c r="E2" s="359"/>
      <c r="F2" s="362" t="str">
        <f>'Inserir dados na planilha'!E4</f>
        <v>13075.141464/2025-18</v>
      </c>
      <c r="G2" s="363"/>
      <c r="H2" s="363"/>
      <c r="I2" s="36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</row>
    <row r="3" spans="1:257" ht="17.25" customHeight="1" x14ac:dyDescent="0.3">
      <c r="A3" s="359" t="s">
        <v>32</v>
      </c>
      <c r="B3" s="359"/>
      <c r="C3" s="359"/>
      <c r="D3" s="359"/>
      <c r="E3" s="359"/>
      <c r="F3" s="362" t="str">
        <f>'Inserir dados na planilha'!E5</f>
        <v>170040/90001/2026</v>
      </c>
      <c r="G3" s="363"/>
      <c r="H3" s="363"/>
      <c r="I3" s="36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</row>
    <row r="4" spans="1:257" ht="16.5" customHeight="1" x14ac:dyDescent="0.3">
      <c r="A4" s="365" t="s">
        <v>456</v>
      </c>
      <c r="B4" s="366"/>
      <c r="C4" s="366"/>
      <c r="D4" s="366"/>
      <c r="E4" s="367"/>
      <c r="F4" s="368" t="str">
        <f>'Inserir dados na planilha'!E6</f>
        <v>*****</v>
      </c>
      <c r="G4" s="369"/>
      <c r="H4" s="369"/>
      <c r="I4" s="370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</row>
    <row r="5" spans="1:257" ht="18.75" customHeight="1" x14ac:dyDescent="0.3">
      <c r="A5" s="358" t="s">
        <v>33</v>
      </c>
      <c r="B5" s="358"/>
      <c r="C5" s="358"/>
      <c r="D5" s="358"/>
      <c r="E5" s="358"/>
      <c r="F5" s="358"/>
      <c r="G5" s="358"/>
      <c r="H5" s="358"/>
      <c r="I5" s="35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spans="1:257" ht="14.25" customHeight="1" x14ac:dyDescent="0.3">
      <c r="A6" s="217" t="s">
        <v>34</v>
      </c>
      <c r="B6" s="359" t="s">
        <v>35</v>
      </c>
      <c r="C6" s="359"/>
      <c r="D6" s="359"/>
      <c r="E6" s="359"/>
      <c r="F6" s="359"/>
      <c r="G6" s="359"/>
      <c r="H6" s="360" t="str">
        <f>'Inserir dados na planilha'!E11</f>
        <v>****</v>
      </c>
      <c r="I6" s="36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spans="1:257" ht="14.25" customHeight="1" x14ac:dyDescent="0.3">
      <c r="A7" s="198" t="s">
        <v>36</v>
      </c>
      <c r="B7" s="359" t="s">
        <v>37</v>
      </c>
      <c r="C7" s="359"/>
      <c r="D7" s="359"/>
      <c r="E7" s="359"/>
      <c r="F7" s="359"/>
      <c r="G7" s="359"/>
      <c r="H7" s="361" t="s">
        <v>381</v>
      </c>
      <c r="I7" s="36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</row>
    <row r="8" spans="1:257" ht="14" customHeight="1" x14ac:dyDescent="0.3">
      <c r="A8" s="217" t="s">
        <v>38</v>
      </c>
      <c r="B8" s="365" t="s">
        <v>39</v>
      </c>
      <c r="C8" s="366"/>
      <c r="D8" s="366"/>
      <c r="E8" s="366"/>
      <c r="F8" s="366"/>
      <c r="G8" s="367"/>
      <c r="H8" s="476" t="str">
        <f>'Inserir dados na planilha'!E9</f>
        <v>PI000015/2025</v>
      </c>
      <c r="I8" s="47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</row>
    <row r="9" spans="1:257" ht="14.25" customHeight="1" x14ac:dyDescent="0.3">
      <c r="A9" s="217" t="s">
        <v>40</v>
      </c>
      <c r="B9" s="365" t="s">
        <v>41</v>
      </c>
      <c r="C9" s="366"/>
      <c r="D9" s="366"/>
      <c r="E9" s="366"/>
      <c r="F9" s="366"/>
      <c r="G9" s="367"/>
      <c r="H9" s="468">
        <f>'Inserir dados na planilha'!E15</f>
        <v>24</v>
      </c>
      <c r="I9" s="46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</row>
    <row r="10" spans="1:257" ht="14.25" customHeight="1" x14ac:dyDescent="0.3">
      <c r="A10" s="470" t="s">
        <v>42</v>
      </c>
      <c r="B10" s="471"/>
      <c r="C10" s="471"/>
      <c r="D10" s="471"/>
      <c r="E10" s="471"/>
      <c r="F10" s="471"/>
      <c r="G10" s="471"/>
      <c r="H10" s="471"/>
      <c r="I10" s="47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</row>
    <row r="11" spans="1:257" ht="39" customHeight="1" x14ac:dyDescent="0.3">
      <c r="A11" s="473" t="s">
        <v>43</v>
      </c>
      <c r="B11" s="474"/>
      <c r="C11" s="474"/>
      <c r="D11" s="474"/>
      <c r="E11" s="475"/>
      <c r="F11" s="473" t="s">
        <v>44</v>
      </c>
      <c r="G11" s="475"/>
      <c r="H11" s="473" t="s">
        <v>45</v>
      </c>
      <c r="I11" s="47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</row>
    <row r="12" spans="1:257" ht="14.25" customHeight="1" x14ac:dyDescent="0.3">
      <c r="A12" s="461" t="str">
        <f>'Inserir dados na planilha'!E13</f>
        <v>Vigilância e segurança armada</v>
      </c>
      <c r="B12" s="462"/>
      <c r="C12" s="462"/>
      <c r="D12" s="462"/>
      <c r="E12" s="463"/>
      <c r="F12" s="464" t="str">
        <f>'Inserir dados na planilha'!E16</f>
        <v>Posto de Serviço</v>
      </c>
      <c r="G12" s="465"/>
      <c r="H12" s="466">
        <v>1</v>
      </c>
      <c r="I12" s="46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</row>
    <row r="13" spans="1:257" ht="14.25" customHeight="1" x14ac:dyDescent="0.3">
      <c r="A13" s="375"/>
      <c r="B13" s="375"/>
      <c r="C13" s="375"/>
      <c r="D13" s="375"/>
      <c r="E13" s="375"/>
      <c r="F13" s="375"/>
      <c r="G13" s="375"/>
      <c r="H13" s="375"/>
      <c r="I13" s="37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</row>
    <row r="14" spans="1:257" x14ac:dyDescent="0.3">
      <c r="A14" s="376"/>
      <c r="B14" s="376"/>
      <c r="C14" s="376"/>
      <c r="D14" s="376"/>
      <c r="E14" s="376"/>
      <c r="F14" s="376"/>
      <c r="G14" s="376"/>
      <c r="H14" s="376"/>
      <c r="I14" s="37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 x14ac:dyDescent="0.3">
      <c r="A15" s="375"/>
      <c r="B15" s="375"/>
      <c r="C15" s="375"/>
      <c r="D15" s="375"/>
      <c r="E15" s="375"/>
      <c r="F15" s="375"/>
      <c r="G15" s="375"/>
      <c r="H15" s="375"/>
      <c r="I15" s="375"/>
      <c r="J15" s="5"/>
      <c r="K15" s="6"/>
      <c r="L15" s="7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6" spans="1:257" ht="48.75" customHeight="1" x14ac:dyDescent="0.3">
      <c r="A16" s="380" t="s">
        <v>46</v>
      </c>
      <c r="B16" s="380"/>
      <c r="C16" s="380"/>
      <c r="D16" s="380"/>
      <c r="E16" s="380"/>
      <c r="F16" s="380"/>
      <c r="G16" s="380"/>
      <c r="H16" s="380"/>
      <c r="I16" s="380"/>
      <c r="J16" s="5"/>
      <c r="K16" s="6"/>
      <c r="L16" s="7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spans="1:257" ht="14.25" customHeight="1" x14ac:dyDescent="0.3">
      <c r="A17" s="375"/>
      <c r="B17" s="375"/>
      <c r="C17" s="375"/>
      <c r="D17" s="375"/>
      <c r="E17" s="375"/>
      <c r="F17" s="375"/>
      <c r="G17" s="375"/>
      <c r="H17" s="375"/>
      <c r="I17" s="375"/>
      <c r="J17" s="5"/>
      <c r="K17" s="6"/>
      <c r="L17" s="7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1:257" ht="14.25" customHeight="1" x14ac:dyDescent="0.3">
      <c r="A18" s="358" t="s">
        <v>47</v>
      </c>
      <c r="B18" s="358"/>
      <c r="C18" s="358"/>
      <c r="D18" s="358"/>
      <c r="E18" s="358"/>
      <c r="F18" s="358"/>
      <c r="G18" s="358"/>
      <c r="H18" s="358"/>
      <c r="I18" s="358"/>
      <c r="J18" s="5"/>
      <c r="K18" s="6"/>
      <c r="L18" s="7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spans="1:257" ht="24" customHeight="1" x14ac:dyDescent="0.3">
      <c r="A19" s="198">
        <v>1</v>
      </c>
      <c r="B19" s="359" t="s">
        <v>48</v>
      </c>
      <c r="C19" s="359"/>
      <c r="D19" s="359"/>
      <c r="E19" s="359"/>
      <c r="F19" s="359"/>
      <c r="G19" s="359"/>
      <c r="H19" s="457" t="str">
        <f>A12</f>
        <v>Vigilância e segurança armada</v>
      </c>
      <c r="I19" s="458"/>
      <c r="J19" s="5"/>
      <c r="K19" s="6"/>
      <c r="L19" s="7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spans="1:257" ht="18.75" customHeight="1" x14ac:dyDescent="0.3">
      <c r="A20" s="198">
        <v>2</v>
      </c>
      <c r="B20" s="359" t="s">
        <v>49</v>
      </c>
      <c r="C20" s="359"/>
      <c r="D20" s="359"/>
      <c r="E20" s="359"/>
      <c r="F20" s="359"/>
      <c r="G20" s="359"/>
      <c r="H20" s="459" t="str">
        <f>'Inserir dados na planilha'!G12</f>
        <v>5173-30</v>
      </c>
      <c r="I20" s="460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379"/>
      <c r="AU20" s="379"/>
      <c r="AV20" s="379"/>
      <c r="AW20" s="379"/>
      <c r="AX20" s="379"/>
      <c r="AY20" s="379"/>
      <c r="AZ20" s="379"/>
      <c r="BA20" s="379"/>
      <c r="BB20" s="379"/>
      <c r="BC20" s="379"/>
      <c r="BD20" s="379"/>
      <c r="BE20" s="379"/>
      <c r="BF20" s="379"/>
      <c r="BG20" s="379"/>
      <c r="BH20" s="379"/>
      <c r="BI20" s="379"/>
      <c r="BJ20" s="379"/>
      <c r="BK20" s="379"/>
      <c r="BL20" s="379"/>
      <c r="BM20" s="379"/>
      <c r="BN20" s="379"/>
      <c r="BO20" s="379"/>
      <c r="BP20" s="379"/>
      <c r="BQ20" s="379"/>
      <c r="BR20" s="379"/>
      <c r="BS20" s="379"/>
      <c r="BT20" s="379"/>
      <c r="BU20" s="379"/>
      <c r="BV20" s="379"/>
      <c r="BW20" s="379"/>
      <c r="BX20" s="379"/>
      <c r="BY20" s="379"/>
      <c r="BZ20" s="379"/>
      <c r="CA20" s="379"/>
      <c r="CB20" s="379"/>
      <c r="CC20" s="379"/>
      <c r="CD20" s="379"/>
      <c r="CE20" s="379"/>
      <c r="CF20" s="379"/>
      <c r="CG20" s="379"/>
      <c r="CH20" s="379"/>
      <c r="CI20" s="379"/>
      <c r="CJ20" s="379"/>
      <c r="CK20" s="379"/>
      <c r="CL20" s="379"/>
      <c r="CM20" s="379"/>
      <c r="CN20" s="379"/>
      <c r="CO20" s="379"/>
      <c r="CP20" s="379"/>
      <c r="CQ20" s="379"/>
      <c r="CR20" s="379"/>
      <c r="CS20" s="379"/>
      <c r="CT20" s="379"/>
      <c r="CU20" s="379"/>
      <c r="CV20" s="379"/>
      <c r="CW20" s="379"/>
      <c r="CX20" s="379"/>
      <c r="CY20" s="379"/>
      <c r="CZ20" s="379"/>
      <c r="DA20" s="379"/>
      <c r="DB20" s="379"/>
      <c r="DC20" s="379"/>
      <c r="DD20" s="379"/>
      <c r="DE20" s="379"/>
      <c r="DF20" s="379"/>
      <c r="DG20" s="379"/>
      <c r="DH20" s="379"/>
      <c r="DI20" s="379"/>
      <c r="DJ20" s="379"/>
      <c r="DK20" s="379"/>
      <c r="DL20" s="379"/>
      <c r="DM20" s="379"/>
      <c r="DN20" s="379"/>
      <c r="DO20" s="379"/>
      <c r="DP20" s="379"/>
      <c r="DQ20" s="379"/>
      <c r="DR20" s="379"/>
      <c r="DS20" s="379"/>
      <c r="DT20" s="379"/>
      <c r="DU20" s="379"/>
      <c r="DV20" s="379"/>
      <c r="DW20" s="379"/>
      <c r="DX20" s="379"/>
      <c r="DY20" s="379"/>
      <c r="DZ20" s="379"/>
      <c r="EA20" s="379"/>
      <c r="EB20" s="379"/>
      <c r="EC20" s="379"/>
      <c r="ED20" s="379"/>
      <c r="EE20" s="379"/>
      <c r="EF20" s="379"/>
      <c r="EG20" s="379"/>
      <c r="EH20" s="379"/>
      <c r="EI20" s="379"/>
      <c r="EJ20" s="379"/>
      <c r="EK20" s="379"/>
      <c r="EL20" s="379"/>
      <c r="EM20" s="379"/>
      <c r="EN20" s="379"/>
      <c r="EO20" s="379"/>
      <c r="EP20" s="379"/>
      <c r="EQ20" s="379"/>
      <c r="ER20" s="379"/>
      <c r="ES20" s="379"/>
      <c r="ET20" s="379"/>
      <c r="EU20" s="379"/>
      <c r="EV20" s="379"/>
      <c r="EW20" s="379"/>
      <c r="EX20" s="379"/>
      <c r="EY20" s="379"/>
      <c r="EZ20" s="379"/>
      <c r="FA20" s="379"/>
      <c r="FB20" s="379"/>
      <c r="FC20" s="379"/>
      <c r="FD20" s="379"/>
      <c r="FE20" s="379"/>
      <c r="FF20" s="379"/>
      <c r="FG20" s="379"/>
      <c r="FH20" s="379"/>
      <c r="FI20" s="379"/>
      <c r="FJ20" s="379"/>
      <c r="FK20" s="379"/>
      <c r="FL20" s="379"/>
      <c r="FM20" s="379"/>
      <c r="FN20" s="379"/>
      <c r="FO20" s="379"/>
      <c r="FP20" s="379"/>
      <c r="FQ20" s="379"/>
      <c r="FR20" s="379"/>
      <c r="FS20" s="379"/>
      <c r="FT20" s="379"/>
      <c r="FU20" s="379"/>
      <c r="FV20" s="379"/>
      <c r="FW20" s="379"/>
      <c r="FX20" s="379"/>
      <c r="FY20" s="379"/>
      <c r="FZ20" s="379"/>
      <c r="GA20" s="379"/>
      <c r="GB20" s="379"/>
      <c r="GC20" s="379"/>
      <c r="GD20" s="379"/>
      <c r="GE20" s="379"/>
      <c r="GF20" s="379"/>
      <c r="GG20" s="379"/>
      <c r="GH20" s="379"/>
      <c r="GI20" s="379"/>
      <c r="GJ20" s="379"/>
      <c r="GK20" s="379"/>
      <c r="GL20" s="379"/>
      <c r="GM20" s="379"/>
      <c r="GN20" s="379"/>
      <c r="GO20" s="379"/>
      <c r="GP20" s="379"/>
      <c r="GQ20" s="379"/>
      <c r="GR20" s="379"/>
      <c r="GS20" s="379"/>
      <c r="GT20" s="379"/>
      <c r="GU20" s="379"/>
      <c r="GV20" s="379"/>
      <c r="GW20" s="379"/>
      <c r="GX20" s="379"/>
      <c r="GY20" s="379"/>
      <c r="GZ20" s="379"/>
      <c r="HA20" s="379"/>
      <c r="HB20" s="379"/>
      <c r="HC20" s="379"/>
      <c r="HD20" s="379"/>
      <c r="HE20" s="379"/>
      <c r="HF20" s="379"/>
      <c r="HG20" s="379"/>
      <c r="HH20" s="379"/>
      <c r="HI20" s="379"/>
      <c r="HJ20" s="379"/>
      <c r="HK20" s="379"/>
      <c r="HL20" s="379"/>
      <c r="HM20" s="379"/>
      <c r="HN20" s="379"/>
      <c r="HO20" s="379"/>
      <c r="HP20" s="379"/>
      <c r="HQ20" s="379"/>
      <c r="HR20" s="379"/>
      <c r="HS20" s="379"/>
      <c r="HT20" s="379"/>
      <c r="HU20" s="379"/>
      <c r="HV20" s="379"/>
      <c r="HW20" s="379"/>
      <c r="HX20" s="379"/>
      <c r="HY20" s="379"/>
      <c r="HZ20" s="379"/>
      <c r="IA20" s="379"/>
      <c r="IB20" s="379"/>
      <c r="IC20" s="379"/>
      <c r="ID20" s="379"/>
      <c r="IE20" s="379"/>
      <c r="IF20" s="379"/>
      <c r="IG20" s="379"/>
      <c r="IH20" s="379"/>
      <c r="II20" s="379"/>
      <c r="IJ20" s="379"/>
      <c r="IK20" s="379"/>
      <c r="IL20" s="379"/>
      <c r="IM20" s="379"/>
      <c r="IN20" s="379"/>
      <c r="IO20" s="379"/>
      <c r="IP20" s="379"/>
      <c r="IQ20" s="379"/>
      <c r="IR20" s="379"/>
      <c r="IS20" s="379"/>
      <c r="IT20" s="379"/>
      <c r="IU20" s="379"/>
      <c r="IV20" s="379"/>
      <c r="IW20" s="8"/>
    </row>
    <row r="21" spans="1:257" ht="24" customHeight="1" x14ac:dyDescent="0.3">
      <c r="A21" s="198">
        <v>3</v>
      </c>
      <c r="B21" s="359" t="s">
        <v>50</v>
      </c>
      <c r="C21" s="359"/>
      <c r="D21" s="359"/>
      <c r="E21" s="359"/>
      <c r="F21" s="359"/>
      <c r="G21" s="359"/>
      <c r="H21" s="451">
        <f>'Inserir dados na planilha'!I20</f>
        <v>1757.2</v>
      </c>
      <c r="I21" s="45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</row>
    <row r="22" spans="1:257" ht="25.5" customHeight="1" x14ac:dyDescent="0.3">
      <c r="A22" s="198">
        <v>4</v>
      </c>
      <c r="B22" s="359" t="s">
        <v>51</v>
      </c>
      <c r="C22" s="359"/>
      <c r="D22" s="359"/>
      <c r="E22" s="359"/>
      <c r="F22" s="359"/>
      <c r="G22" s="359"/>
      <c r="H22" s="453" t="str">
        <f>'Inserir dados na planilha'!D12</f>
        <v>Vigilante</v>
      </c>
      <c r="I22" s="454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</row>
    <row r="23" spans="1:257" ht="18" customHeight="1" x14ac:dyDescent="0.3">
      <c r="A23" s="198">
        <v>5</v>
      </c>
      <c r="B23" s="359" t="s">
        <v>52</v>
      </c>
      <c r="C23" s="359"/>
      <c r="D23" s="359"/>
      <c r="E23" s="359"/>
      <c r="F23" s="359"/>
      <c r="G23" s="359"/>
      <c r="H23" s="455">
        <f>'Inserir dados na planilha'!E14</f>
        <v>45658</v>
      </c>
      <c r="I23" s="456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257" ht="18" customHeight="1" x14ac:dyDescent="0.3">
      <c r="A24" s="198">
        <v>6</v>
      </c>
      <c r="B24" s="359" t="s">
        <v>394</v>
      </c>
      <c r="C24" s="359"/>
      <c r="D24" s="359"/>
      <c r="E24" s="359"/>
      <c r="F24" s="359"/>
      <c r="G24" s="9">
        <f>'Inserir dados na planilha'!H22</f>
        <v>0.3</v>
      </c>
      <c r="H24" s="449">
        <f>ROUNDUP(G24*H21,2)</f>
        <v>527.16</v>
      </c>
      <c r="I24" s="450"/>
      <c r="J24" s="18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257" ht="18" customHeight="1" x14ac:dyDescent="0.3">
      <c r="A25" s="198">
        <v>7</v>
      </c>
      <c r="B25" s="359" t="s">
        <v>53</v>
      </c>
      <c r="C25" s="359"/>
      <c r="D25" s="359"/>
      <c r="E25" s="359"/>
      <c r="F25" s="359"/>
      <c r="G25" s="359"/>
      <c r="H25" s="384">
        <f>ROUNDUP(H24+H21,2)</f>
        <v>2284.36</v>
      </c>
      <c r="I25" s="384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spans="1:257" ht="18" customHeight="1" x14ac:dyDescent="0.3">
      <c r="A26" s="198">
        <v>8</v>
      </c>
      <c r="B26" s="359" t="s">
        <v>54</v>
      </c>
      <c r="C26" s="359"/>
      <c r="D26" s="359"/>
      <c r="E26" s="359"/>
      <c r="F26" s="359"/>
      <c r="G26" s="359"/>
      <c r="H26" s="384"/>
      <c r="I26" s="384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spans="1:257" ht="20.9" customHeight="1" x14ac:dyDescent="0.3">
      <c r="A27" s="198">
        <v>9</v>
      </c>
      <c r="B27" s="359" t="s">
        <v>385</v>
      </c>
      <c r="C27" s="359"/>
      <c r="D27" s="359"/>
      <c r="E27" s="359"/>
      <c r="F27" s="359"/>
      <c r="G27" s="359"/>
      <c r="H27" s="384"/>
      <c r="I27" s="38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spans="1:257" ht="18" customHeight="1" x14ac:dyDescent="0.3">
      <c r="A28" s="198">
        <v>10</v>
      </c>
      <c r="B28" s="359" t="s">
        <v>55</v>
      </c>
      <c r="C28" s="359"/>
      <c r="D28" s="359"/>
      <c r="E28" s="359"/>
      <c r="F28" s="359"/>
      <c r="G28" s="359"/>
      <c r="H28" s="384"/>
      <c r="I28" s="384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spans="1:257" ht="18" customHeight="1" x14ac:dyDescent="0.3">
      <c r="A29" s="198">
        <v>11</v>
      </c>
      <c r="B29" s="359" t="s">
        <v>56</v>
      </c>
      <c r="C29" s="359"/>
      <c r="D29" s="359"/>
      <c r="E29" s="359"/>
      <c r="F29" s="359"/>
      <c r="G29" s="359"/>
      <c r="H29" s="384"/>
      <c r="I29" s="38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spans="1:257" ht="18" customHeight="1" x14ac:dyDescent="0.3">
      <c r="A30" s="198">
        <v>12</v>
      </c>
      <c r="B30" s="359" t="s">
        <v>57</v>
      </c>
      <c r="C30" s="359"/>
      <c r="D30" s="359"/>
      <c r="E30" s="359"/>
      <c r="F30" s="359"/>
      <c r="G30" s="359"/>
      <c r="H30" s="384"/>
      <c r="I30" s="384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spans="1:257" ht="18" customHeight="1" x14ac:dyDescent="0.3">
      <c r="A31" s="198">
        <v>13</v>
      </c>
      <c r="B31" s="359" t="s">
        <v>58</v>
      </c>
      <c r="C31" s="359"/>
      <c r="D31" s="359"/>
      <c r="E31" s="359"/>
      <c r="F31" s="359"/>
      <c r="G31" s="359"/>
      <c r="H31" s="384"/>
      <c r="I31" s="384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spans="1:257" ht="18" customHeight="1" x14ac:dyDescent="0.3">
      <c r="A32" s="198">
        <v>14</v>
      </c>
      <c r="B32" s="359" t="s">
        <v>454</v>
      </c>
      <c r="C32" s="359"/>
      <c r="D32" s="359"/>
      <c r="E32" s="359"/>
      <c r="F32" s="359"/>
      <c r="G32" s="359"/>
      <c r="H32" s="384"/>
      <c r="I32" s="384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spans="1:257" ht="18" customHeight="1" x14ac:dyDescent="0.3">
      <c r="A33" s="198">
        <v>15</v>
      </c>
      <c r="B33" s="359" t="s">
        <v>59</v>
      </c>
      <c r="C33" s="359"/>
      <c r="D33" s="359"/>
      <c r="E33" s="359"/>
      <c r="F33" s="359"/>
      <c r="G33" s="359"/>
      <c r="H33" s="384"/>
      <c r="I33" s="384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spans="1:257" ht="18" customHeight="1" x14ac:dyDescent="0.3">
      <c r="A34" s="198">
        <v>16</v>
      </c>
      <c r="B34" s="359" t="s">
        <v>60</v>
      </c>
      <c r="C34" s="359"/>
      <c r="D34" s="359"/>
      <c r="E34" s="359"/>
      <c r="F34" s="359"/>
      <c r="G34" s="359"/>
      <c r="H34" s="384"/>
      <c r="I34" s="384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pans="1:257" ht="18" customHeight="1" x14ac:dyDescent="0.3">
      <c r="A35" s="198">
        <v>17</v>
      </c>
      <c r="B35" s="359" t="s">
        <v>61</v>
      </c>
      <c r="C35" s="359"/>
      <c r="D35" s="359"/>
      <c r="E35" s="359"/>
      <c r="F35" s="359"/>
      <c r="G35" s="359"/>
      <c r="H35" s="384"/>
      <c r="I35" s="38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257" ht="18" customHeight="1" x14ac:dyDescent="0.3">
      <c r="A36" s="198">
        <v>19</v>
      </c>
      <c r="B36" s="359" t="s">
        <v>62</v>
      </c>
      <c r="C36" s="359"/>
      <c r="D36" s="359"/>
      <c r="E36" s="359"/>
      <c r="F36" s="359"/>
      <c r="G36" s="359"/>
      <c r="H36" s="384"/>
      <c r="I36" s="38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spans="1:257" ht="18" customHeight="1" x14ac:dyDescent="0.3">
      <c r="A37" s="198">
        <v>20</v>
      </c>
      <c r="B37" s="359" t="s">
        <v>63</v>
      </c>
      <c r="C37" s="359"/>
      <c r="D37" s="359"/>
      <c r="E37" s="359"/>
      <c r="F37" s="359"/>
      <c r="G37" s="359"/>
      <c r="H37" s="388">
        <v>1</v>
      </c>
      <c r="I37" s="38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spans="1:257" x14ac:dyDescent="0.3">
      <c r="A38" s="375"/>
      <c r="B38" s="375"/>
      <c r="C38" s="375"/>
      <c r="D38" s="375"/>
      <c r="E38" s="375"/>
      <c r="F38" s="375"/>
      <c r="G38" s="375"/>
      <c r="H38" s="375"/>
      <c r="I38" s="375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spans="1:257" x14ac:dyDescent="0.3">
      <c r="A39" s="389"/>
      <c r="B39" s="389"/>
      <c r="C39" s="389"/>
      <c r="D39" s="389"/>
      <c r="E39" s="389"/>
      <c r="F39" s="389"/>
      <c r="G39" s="389"/>
      <c r="H39" s="389"/>
      <c r="I39" s="38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spans="1:257" ht="14.25" customHeight="1" x14ac:dyDescent="0.3">
      <c r="A40" s="375"/>
      <c r="B40" s="375"/>
      <c r="C40" s="375"/>
      <c r="D40" s="375"/>
      <c r="E40" s="375"/>
      <c r="F40" s="375"/>
      <c r="G40" s="375"/>
      <c r="H40" s="375"/>
      <c r="I40" s="375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spans="1:257" ht="17.25" customHeight="1" x14ac:dyDescent="0.3">
      <c r="A41" s="391" t="s">
        <v>64</v>
      </c>
      <c r="B41" s="391"/>
      <c r="C41" s="391"/>
      <c r="D41" s="391"/>
      <c r="E41" s="391"/>
      <c r="F41" s="391"/>
      <c r="G41" s="391"/>
      <c r="H41" s="391"/>
      <c r="I41" s="39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spans="1:257" ht="38.25" customHeight="1" x14ac:dyDescent="0.3">
      <c r="A42" s="12">
        <v>1</v>
      </c>
      <c r="B42" s="378" t="s">
        <v>65</v>
      </c>
      <c r="C42" s="378"/>
      <c r="D42" s="378"/>
      <c r="E42" s="378"/>
      <c r="F42" s="378"/>
      <c r="G42" s="378"/>
      <c r="H42" s="13" t="s">
        <v>66</v>
      </c>
      <c r="I42" s="12" t="s">
        <v>67</v>
      </c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spans="1:257" x14ac:dyDescent="0.3">
      <c r="A43" s="198" t="s">
        <v>34</v>
      </c>
      <c r="B43" s="359" t="s">
        <v>68</v>
      </c>
      <c r="C43" s="359"/>
      <c r="D43" s="359"/>
      <c r="E43" s="359"/>
      <c r="F43" s="359"/>
      <c r="G43" s="359"/>
      <c r="H43" s="206">
        <v>1</v>
      </c>
      <c r="I43" s="15">
        <f>ROUNDUP(H21*H37,2)</f>
        <v>1757.2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257" x14ac:dyDescent="0.3">
      <c r="A44" s="198" t="s">
        <v>36</v>
      </c>
      <c r="B44" s="359" t="s">
        <v>69</v>
      </c>
      <c r="C44" s="359"/>
      <c r="D44" s="359"/>
      <c r="E44" s="359"/>
      <c r="F44" s="359"/>
      <c r="G44" s="359"/>
      <c r="H44" s="206">
        <v>0.3</v>
      </c>
      <c r="I44" s="15">
        <f>ROUNDUP(H24*H37,2)</f>
        <v>527.16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257" x14ac:dyDescent="0.3">
      <c r="A45" s="198" t="s">
        <v>38</v>
      </c>
      <c r="B45" s="359" t="s">
        <v>70</v>
      </c>
      <c r="C45" s="359"/>
      <c r="D45" s="359"/>
      <c r="E45" s="359"/>
      <c r="F45" s="359"/>
      <c r="G45" s="359"/>
      <c r="H45" s="206">
        <v>0</v>
      </c>
      <c r="I45" s="16">
        <v>0</v>
      </c>
      <c r="J45" s="1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</row>
    <row r="46" spans="1:257" x14ac:dyDescent="0.3">
      <c r="A46" s="198" t="s">
        <v>40</v>
      </c>
      <c r="B46" s="359" t="s">
        <v>72</v>
      </c>
      <c r="C46" s="359"/>
      <c r="D46" s="359"/>
      <c r="E46" s="359"/>
      <c r="F46" s="359"/>
      <c r="G46" s="359"/>
      <c r="H46" s="206">
        <v>0</v>
      </c>
      <c r="I46" s="16">
        <v>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</row>
    <row r="47" spans="1:257" ht="14.25" customHeight="1" x14ac:dyDescent="0.3">
      <c r="A47" s="198" t="s">
        <v>73</v>
      </c>
      <c r="B47" s="359" t="s">
        <v>74</v>
      </c>
      <c r="C47" s="359"/>
      <c r="D47" s="359"/>
      <c r="E47" s="359"/>
      <c r="F47" s="359"/>
      <c r="G47" s="359"/>
      <c r="H47" s="359"/>
      <c r="I47" s="15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</row>
    <row r="48" spans="1:257" ht="15.75" customHeight="1" x14ac:dyDescent="0.3">
      <c r="A48" s="390" t="s">
        <v>75</v>
      </c>
      <c r="B48" s="390"/>
      <c r="C48" s="390"/>
      <c r="D48" s="390"/>
      <c r="E48" s="390"/>
      <c r="F48" s="390"/>
      <c r="G48" s="390"/>
      <c r="H48" s="390"/>
      <c r="I48" s="17">
        <f>TRUNC(SUM(I43:I47),2)</f>
        <v>2284.36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</row>
    <row r="49" spans="1:257" ht="15.75" customHeight="1" x14ac:dyDescent="0.3">
      <c r="A49" s="375"/>
      <c r="B49" s="375"/>
      <c r="C49" s="375"/>
      <c r="D49" s="375"/>
      <c r="E49" s="375"/>
      <c r="F49" s="375"/>
      <c r="G49" s="375"/>
      <c r="H49" s="375"/>
      <c r="I49" s="375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</row>
    <row r="50" spans="1:257" x14ac:dyDescent="0.3">
      <c r="A50" s="198" t="s">
        <v>76</v>
      </c>
      <c r="B50" s="359" t="s">
        <v>77</v>
      </c>
      <c r="C50" s="359"/>
      <c r="D50" s="359"/>
      <c r="E50" s="359"/>
      <c r="F50" s="359"/>
      <c r="G50" s="359"/>
      <c r="H50" s="359"/>
      <c r="I50" s="15">
        <f>H36*H37</f>
        <v>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</row>
    <row r="51" spans="1:257" ht="42" customHeight="1" x14ac:dyDescent="0.3">
      <c r="A51" s="358" t="s">
        <v>78</v>
      </c>
      <c r="B51" s="358"/>
      <c r="C51" s="358"/>
      <c r="D51" s="358"/>
      <c r="E51" s="358"/>
      <c r="F51" s="358"/>
      <c r="G51" s="358"/>
      <c r="H51" s="358"/>
      <c r="I51" s="17">
        <f>I50</f>
        <v>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</row>
    <row r="52" spans="1:257" x14ac:dyDescent="0.3">
      <c r="A52" s="375"/>
      <c r="B52" s="375"/>
      <c r="C52" s="375"/>
      <c r="D52" s="375"/>
      <c r="E52" s="375"/>
      <c r="F52" s="375"/>
      <c r="G52" s="375"/>
      <c r="H52" s="375"/>
      <c r="I52" s="375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</row>
    <row r="53" spans="1:257" ht="13.5" customHeight="1" x14ac:dyDescent="0.3">
      <c r="A53" s="390" t="s">
        <v>79</v>
      </c>
      <c r="B53" s="390"/>
      <c r="C53" s="390"/>
      <c r="D53" s="390"/>
      <c r="E53" s="390"/>
      <c r="F53" s="390"/>
      <c r="G53" s="390"/>
      <c r="H53" s="390"/>
      <c r="I53" s="17">
        <f>I48+I51</f>
        <v>2284.36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</row>
    <row r="54" spans="1:257" ht="13.5" customHeight="1" x14ac:dyDescent="0.3">
      <c r="A54" s="375"/>
      <c r="B54" s="375"/>
      <c r="C54" s="375"/>
      <c r="D54" s="375"/>
      <c r="E54" s="375"/>
      <c r="F54" s="375"/>
      <c r="G54" s="375"/>
      <c r="H54" s="375"/>
      <c r="I54" s="375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spans="1:257" x14ac:dyDescent="0.3">
      <c r="A55" s="397"/>
      <c r="B55" s="397"/>
      <c r="C55" s="397"/>
      <c r="D55" s="397"/>
      <c r="E55" s="397"/>
      <c r="F55" s="397"/>
      <c r="G55" s="397"/>
      <c r="H55" s="397"/>
      <c r="I55" s="397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spans="1:257" ht="14.25" customHeight="1" x14ac:dyDescent="0.3">
      <c r="A56" s="375"/>
      <c r="B56" s="375"/>
      <c r="C56" s="375"/>
      <c r="D56" s="375"/>
      <c r="E56" s="375"/>
      <c r="F56" s="375"/>
      <c r="G56" s="375"/>
      <c r="H56" s="375"/>
      <c r="I56" s="375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spans="1:257" ht="15.5" x14ac:dyDescent="0.3">
      <c r="A57" s="398" t="s">
        <v>80</v>
      </c>
      <c r="B57" s="398"/>
      <c r="C57" s="398"/>
      <c r="D57" s="398"/>
      <c r="E57" s="398"/>
      <c r="F57" s="398"/>
      <c r="G57" s="398"/>
      <c r="H57" s="398"/>
      <c r="I57" s="398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spans="1:257" x14ac:dyDescent="0.3">
      <c r="A58" s="392" t="s">
        <v>81</v>
      </c>
      <c r="B58" s="392"/>
      <c r="C58" s="392"/>
      <c r="D58" s="392"/>
      <c r="E58" s="392"/>
      <c r="F58" s="392"/>
      <c r="G58" s="392"/>
      <c r="H58" s="392"/>
      <c r="I58" s="39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spans="1:257" ht="23" x14ac:dyDescent="0.3">
      <c r="A59" s="18" t="s">
        <v>82</v>
      </c>
      <c r="B59" s="393" t="s">
        <v>83</v>
      </c>
      <c r="C59" s="393"/>
      <c r="D59" s="393"/>
      <c r="E59" s="393"/>
      <c r="F59" s="393"/>
      <c r="G59" s="393"/>
      <c r="H59" s="19" t="s">
        <v>84</v>
      </c>
      <c r="I59" s="198" t="s">
        <v>85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spans="1:257" ht="13.5" customHeight="1" x14ac:dyDescent="0.3">
      <c r="A60" s="18" t="s">
        <v>34</v>
      </c>
      <c r="B60" s="394" t="s">
        <v>86</v>
      </c>
      <c r="C60" s="394"/>
      <c r="D60" s="394"/>
      <c r="E60" s="394"/>
      <c r="F60" s="394"/>
      <c r="G60" s="394"/>
      <c r="H60" s="20">
        <v>8.3299999999999999E-2</v>
      </c>
      <c r="I60" s="21">
        <f>ROUNDUP($I$48*H60,2)</f>
        <v>190.29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spans="1:257" ht="13.5" customHeight="1" x14ac:dyDescent="0.3">
      <c r="A61" s="18" t="s">
        <v>36</v>
      </c>
      <c r="B61" s="395" t="s">
        <v>87</v>
      </c>
      <c r="C61" s="395"/>
      <c r="D61" s="395"/>
      <c r="E61" s="395"/>
      <c r="F61" s="395"/>
      <c r="G61" s="395"/>
      <c r="H61" s="22">
        <v>3.0249999999999999E-2</v>
      </c>
      <c r="I61" s="21">
        <f>ROUNDUP($I$48*H61,2)</f>
        <v>69.11</v>
      </c>
      <c r="J61" s="56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spans="1:257" x14ac:dyDescent="0.3">
      <c r="A62" s="396" t="s">
        <v>75</v>
      </c>
      <c r="B62" s="396"/>
      <c r="C62" s="396"/>
      <c r="D62" s="396"/>
      <c r="E62" s="396"/>
      <c r="F62" s="396"/>
      <c r="G62" s="396"/>
      <c r="H62" s="396"/>
      <c r="I62" s="23">
        <f>TRUNC(SUM(I60:I61),2)</f>
        <v>259.39999999999998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spans="1:257" x14ac:dyDescent="0.3">
      <c r="A63" s="375"/>
      <c r="B63" s="375"/>
      <c r="C63" s="375"/>
      <c r="D63" s="375"/>
      <c r="E63" s="375"/>
      <c r="F63" s="375"/>
      <c r="G63" s="375"/>
      <c r="H63" s="375"/>
      <c r="I63" s="375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257" x14ac:dyDescent="0.3">
      <c r="A64" s="400"/>
      <c r="B64" s="400"/>
      <c r="C64" s="400"/>
      <c r="D64" s="400"/>
      <c r="E64" s="400"/>
      <c r="F64" s="400"/>
      <c r="G64" s="400"/>
      <c r="H64" s="400"/>
      <c r="I64" s="400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spans="1:257" ht="14.25" customHeight="1" x14ac:dyDescent="0.3">
      <c r="A65" s="375"/>
      <c r="B65" s="375"/>
      <c r="C65" s="375"/>
      <c r="D65" s="375"/>
      <c r="E65" s="375"/>
      <c r="F65" s="375"/>
      <c r="G65" s="375"/>
      <c r="H65" s="375"/>
      <c r="I65" s="375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spans="1:257" ht="30" customHeight="1" x14ac:dyDescent="0.3">
      <c r="A66" s="401" t="s">
        <v>88</v>
      </c>
      <c r="B66" s="401"/>
      <c r="C66" s="401"/>
      <c r="D66" s="401"/>
      <c r="E66" s="401"/>
      <c r="F66" s="401"/>
      <c r="G66" s="401"/>
      <c r="H66" s="401"/>
      <c r="I66" s="401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spans="1:257" ht="30" customHeight="1" x14ac:dyDescent="0.3">
      <c r="A67" s="24" t="s">
        <v>89</v>
      </c>
      <c r="B67" s="402" t="s">
        <v>90</v>
      </c>
      <c r="C67" s="402"/>
      <c r="D67" s="402"/>
      <c r="E67" s="402"/>
      <c r="F67" s="402"/>
      <c r="G67" s="402"/>
      <c r="H67" s="26" t="s">
        <v>84</v>
      </c>
      <c r="I67" s="201" t="s">
        <v>67</v>
      </c>
    </row>
    <row r="68" spans="1:257" ht="14.25" customHeight="1" x14ac:dyDescent="0.3">
      <c r="A68" s="218" t="s">
        <v>34</v>
      </c>
      <c r="B68" s="399" t="s">
        <v>91</v>
      </c>
      <c r="C68" s="399"/>
      <c r="D68" s="399"/>
      <c r="E68" s="399"/>
      <c r="F68" s="399"/>
      <c r="G68" s="399"/>
      <c r="H68" s="213">
        <f>'Inserir dados na planilha'!I26</f>
        <v>0.2</v>
      </c>
      <c r="I68" s="16">
        <f t="shared" ref="I68:I75" si="0">ROUNDUP(($I$48+$I$62)*H68,2)</f>
        <v>508.76</v>
      </c>
    </row>
    <row r="69" spans="1:257" ht="14.25" customHeight="1" x14ac:dyDescent="0.3">
      <c r="A69" s="218" t="s">
        <v>36</v>
      </c>
      <c r="B69" s="399" t="s">
        <v>92</v>
      </c>
      <c r="C69" s="399"/>
      <c r="D69" s="399"/>
      <c r="E69" s="399"/>
      <c r="F69" s="399"/>
      <c r="G69" s="399"/>
      <c r="H69" s="213">
        <f>'Inserir dados na planilha'!I27</f>
        <v>2.5000000000000001E-2</v>
      </c>
      <c r="I69" s="16">
        <f t="shared" si="0"/>
        <v>63.6</v>
      </c>
    </row>
    <row r="70" spans="1:257" ht="80.25" customHeight="1" x14ac:dyDescent="0.3">
      <c r="A70" s="218" t="s">
        <v>38</v>
      </c>
      <c r="B70" s="399" t="s">
        <v>93</v>
      </c>
      <c r="C70" s="399"/>
      <c r="D70" s="260" t="s">
        <v>94</v>
      </c>
      <c r="E70" s="261">
        <f>'Inserir dados na planilha'!I28</f>
        <v>0.03</v>
      </c>
      <c r="F70" s="260" t="s">
        <v>95</v>
      </c>
      <c r="G70" s="268">
        <f>'Inserir dados na planilha'!I29</f>
        <v>2</v>
      </c>
      <c r="H70" s="269">
        <f>ROUND((E70*G70),6)</f>
        <v>0.06</v>
      </c>
      <c r="I70" s="16">
        <f t="shared" si="0"/>
        <v>152.63</v>
      </c>
    </row>
    <row r="71" spans="1:257" ht="14.25" customHeight="1" x14ac:dyDescent="0.3">
      <c r="A71" s="218" t="s">
        <v>40</v>
      </c>
      <c r="B71" s="399" t="s">
        <v>96</v>
      </c>
      <c r="C71" s="399"/>
      <c r="D71" s="399"/>
      <c r="E71" s="399"/>
      <c r="F71" s="399"/>
      <c r="G71" s="399"/>
      <c r="H71" s="213">
        <f>'Inserir dados na planilha'!I30</f>
        <v>1.4999999999999999E-2</v>
      </c>
      <c r="I71" s="16">
        <f t="shared" si="0"/>
        <v>38.159999999999997</v>
      </c>
    </row>
    <row r="72" spans="1:257" ht="14.25" customHeight="1" x14ac:dyDescent="0.3">
      <c r="A72" s="218" t="s">
        <v>73</v>
      </c>
      <c r="B72" s="399" t="s">
        <v>97</v>
      </c>
      <c r="C72" s="399"/>
      <c r="D72" s="399"/>
      <c r="E72" s="399"/>
      <c r="F72" s="399"/>
      <c r="G72" s="399"/>
      <c r="H72" s="213">
        <f>'Inserir dados na planilha'!I31</f>
        <v>0.01</v>
      </c>
      <c r="I72" s="16">
        <f t="shared" si="0"/>
        <v>25.44</v>
      </c>
    </row>
    <row r="73" spans="1:257" ht="14.25" customHeight="1" x14ac:dyDescent="0.3">
      <c r="A73" s="218" t="s">
        <v>76</v>
      </c>
      <c r="B73" s="399" t="s">
        <v>98</v>
      </c>
      <c r="C73" s="399"/>
      <c r="D73" s="399"/>
      <c r="E73" s="399"/>
      <c r="F73" s="399"/>
      <c r="G73" s="399"/>
      <c r="H73" s="213">
        <f>'Inserir dados na planilha'!I32</f>
        <v>6.0000000000000001E-3</v>
      </c>
      <c r="I73" s="16">
        <f t="shared" si="0"/>
        <v>15.27</v>
      </c>
    </row>
    <row r="74" spans="1:257" ht="14.25" customHeight="1" x14ac:dyDescent="0.3">
      <c r="A74" s="218" t="s">
        <v>99</v>
      </c>
      <c r="B74" s="399" t="s">
        <v>100</v>
      </c>
      <c r="C74" s="399"/>
      <c r="D74" s="399"/>
      <c r="E74" s="399"/>
      <c r="F74" s="399"/>
      <c r="G74" s="399"/>
      <c r="H74" s="213">
        <f>'Inserir dados na planilha'!I33</f>
        <v>2E-3</v>
      </c>
      <c r="I74" s="16">
        <f t="shared" si="0"/>
        <v>5.09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spans="1:257" ht="14.25" customHeight="1" x14ac:dyDescent="0.3">
      <c r="A75" s="203" t="s">
        <v>101</v>
      </c>
      <c r="B75" s="359" t="s">
        <v>102</v>
      </c>
      <c r="C75" s="359"/>
      <c r="D75" s="359"/>
      <c r="E75" s="359"/>
      <c r="F75" s="359"/>
      <c r="G75" s="359"/>
      <c r="H75" s="28">
        <v>0.08</v>
      </c>
      <c r="I75" s="16">
        <f t="shared" si="0"/>
        <v>203.51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spans="1:257" x14ac:dyDescent="0.3">
      <c r="A76" s="396" t="s">
        <v>75</v>
      </c>
      <c r="B76" s="396"/>
      <c r="C76" s="396"/>
      <c r="D76" s="396"/>
      <c r="E76" s="396"/>
      <c r="F76" s="396"/>
      <c r="G76" s="396"/>
      <c r="H76" s="29">
        <f>SUM(H68:H75)</f>
        <v>0.39800000000000008</v>
      </c>
      <c r="I76" s="30">
        <f>TRUNC(SUM(I68:I75),2)</f>
        <v>1012.46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spans="1:257" x14ac:dyDescent="0.3">
      <c r="A77" s="31"/>
      <c r="B77" s="32"/>
      <c r="C77" s="32"/>
      <c r="D77" s="32"/>
      <c r="E77" s="32"/>
      <c r="F77" s="32"/>
      <c r="G77" s="32"/>
      <c r="H77" s="33"/>
      <c r="I77" s="3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spans="1:257" x14ac:dyDescent="0.3">
      <c r="A78" s="400"/>
      <c r="B78" s="400"/>
      <c r="C78" s="400"/>
      <c r="D78" s="400"/>
      <c r="E78" s="400"/>
      <c r="F78" s="400"/>
      <c r="G78" s="400"/>
      <c r="H78" s="400"/>
      <c r="I78" s="400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spans="1:257" x14ac:dyDescent="0.3">
      <c r="A79" s="375"/>
      <c r="B79" s="375"/>
      <c r="C79" s="375"/>
      <c r="D79" s="375"/>
      <c r="E79" s="375"/>
      <c r="F79" s="375"/>
      <c r="G79" s="375"/>
      <c r="H79" s="375"/>
      <c r="I79" s="375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spans="1:257" x14ac:dyDescent="0.3">
      <c r="A80" s="407" t="s">
        <v>103</v>
      </c>
      <c r="B80" s="407"/>
      <c r="C80" s="407"/>
      <c r="D80" s="407"/>
      <c r="E80" s="407"/>
      <c r="F80" s="407"/>
      <c r="G80" s="407"/>
      <c r="H80" s="407"/>
      <c r="I80" s="407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spans="1:257" ht="15.75" customHeight="1" x14ac:dyDescent="0.3">
      <c r="A81" s="202" t="s">
        <v>104</v>
      </c>
      <c r="B81" s="402" t="s">
        <v>105</v>
      </c>
      <c r="C81" s="402"/>
      <c r="D81" s="402"/>
      <c r="E81" s="402"/>
      <c r="F81" s="402"/>
      <c r="G81" s="402"/>
      <c r="H81" s="402"/>
      <c r="I81" s="201" t="s">
        <v>85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spans="1:257" ht="14.25" customHeight="1" x14ac:dyDescent="0.3">
      <c r="A82" s="138" t="s">
        <v>34</v>
      </c>
      <c r="B82" s="399" t="s">
        <v>106</v>
      </c>
      <c r="C82" s="399"/>
      <c r="D82" s="399"/>
      <c r="E82" s="399"/>
      <c r="F82" s="399"/>
      <c r="G82" s="399"/>
      <c r="H82" s="399"/>
      <c r="I82" s="290">
        <f>IF(((H83*H84*H85)-(H21*H86))&lt;0,0,((H83*H84*H85)-(H21*H86))*H37)</f>
        <v>0</v>
      </c>
      <c r="J82" s="2"/>
      <c r="K82" s="195"/>
      <c r="L82" s="40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spans="1:257" ht="25.5" customHeight="1" x14ac:dyDescent="0.3">
      <c r="A83" s="138"/>
      <c r="B83" s="446" t="s">
        <v>107</v>
      </c>
      <c r="C83" s="446"/>
      <c r="D83" s="446"/>
      <c r="E83" s="446"/>
      <c r="F83" s="446"/>
      <c r="G83" s="446"/>
      <c r="H83" s="262">
        <f>'Inserir dados na planilha'!I39</f>
        <v>0</v>
      </c>
      <c r="I83" s="250"/>
      <c r="J83" s="2"/>
      <c r="K83" s="2"/>
      <c r="L83" s="182"/>
      <c r="M83" s="40"/>
      <c r="N83" s="18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spans="1:257" ht="14.25" customHeight="1" x14ac:dyDescent="0.3">
      <c r="A84" s="138"/>
      <c r="B84" s="446" t="s">
        <v>108</v>
      </c>
      <c r="C84" s="446"/>
      <c r="D84" s="446"/>
      <c r="E84" s="446"/>
      <c r="F84" s="446"/>
      <c r="G84" s="446"/>
      <c r="H84" s="251">
        <v>2</v>
      </c>
      <c r="I84" s="25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spans="1:257" ht="14.25" customHeight="1" x14ac:dyDescent="0.3">
      <c r="A85" s="138"/>
      <c r="B85" s="446" t="s">
        <v>109</v>
      </c>
      <c r="C85" s="446"/>
      <c r="D85" s="446"/>
      <c r="E85" s="446"/>
      <c r="F85" s="446"/>
      <c r="G85" s="446"/>
      <c r="H85" s="251">
        <v>22</v>
      </c>
      <c r="I85" s="25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spans="1:257" x14ac:dyDescent="0.3">
      <c r="A86" s="138"/>
      <c r="B86" s="447" t="s">
        <v>110</v>
      </c>
      <c r="C86" s="447"/>
      <c r="D86" s="447"/>
      <c r="E86" s="447"/>
      <c r="F86" s="447"/>
      <c r="G86" s="447"/>
      <c r="H86" s="253">
        <v>0.06</v>
      </c>
      <c r="I86" s="25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spans="1:257" ht="14.25" customHeight="1" x14ac:dyDescent="0.3">
      <c r="A87" s="138" t="s">
        <v>36</v>
      </c>
      <c r="B87" s="405" t="s">
        <v>388</v>
      </c>
      <c r="C87" s="405"/>
      <c r="D87" s="405"/>
      <c r="E87" s="405"/>
      <c r="F87" s="405"/>
      <c r="G87" s="405"/>
      <c r="H87" s="405"/>
      <c r="I87" s="290">
        <f>ROUNDUP((H88*H89)*(1-H90)*H37,2)</f>
        <v>624.6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spans="1:257" ht="14.25" customHeight="1" x14ac:dyDescent="0.3">
      <c r="A88" s="138"/>
      <c r="B88" s="406" t="s">
        <v>111</v>
      </c>
      <c r="C88" s="406"/>
      <c r="D88" s="406"/>
      <c r="E88" s="406"/>
      <c r="F88" s="406"/>
      <c r="G88" s="406"/>
      <c r="H88" s="274">
        <f>'Inserir dados na planilha'!I40</f>
        <v>28.390899999999998</v>
      </c>
      <c r="I88" s="25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spans="1:257" ht="14" customHeight="1" x14ac:dyDescent="0.3">
      <c r="A89" s="139"/>
      <c r="B89" s="403" t="s">
        <v>112</v>
      </c>
      <c r="C89" s="403"/>
      <c r="D89" s="403"/>
      <c r="E89" s="403"/>
      <c r="F89" s="403"/>
      <c r="G89" s="403"/>
      <c r="H89" s="251">
        <v>22</v>
      </c>
      <c r="I89" s="25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spans="1:257" ht="14" customHeight="1" x14ac:dyDescent="0.3">
      <c r="A90" s="139"/>
      <c r="B90" s="410" t="s">
        <v>113</v>
      </c>
      <c r="C90" s="411"/>
      <c r="D90" s="411"/>
      <c r="E90" s="411"/>
      <c r="F90" s="412"/>
      <c r="G90" s="258">
        <f>'Inserir dados na planilha'!G41</f>
        <v>0</v>
      </c>
      <c r="H90" s="256">
        <f>'Inserir dados na planilha'!I41</f>
        <v>0</v>
      </c>
      <c r="I90" s="252">
        <f>'Inserir dados na planilha'!I41</f>
        <v>0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spans="1:257" ht="14" customHeight="1" x14ac:dyDescent="0.3">
      <c r="A91" s="138" t="s">
        <v>38</v>
      </c>
      <c r="B91" s="409" t="s">
        <v>114</v>
      </c>
      <c r="C91" s="409"/>
      <c r="D91" s="409"/>
      <c r="E91" s="409"/>
      <c r="F91" s="409"/>
      <c r="G91" s="409"/>
      <c r="H91" s="256">
        <f>'Inserir dados na planilha'!I42</f>
        <v>0</v>
      </c>
      <c r="I91" s="256">
        <f>ROUNDUP((H91*$H$37)*(1-'Inserir dados na planilha'!H42),2)</f>
        <v>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</row>
    <row r="92" spans="1:257" ht="14" customHeight="1" x14ac:dyDescent="0.3">
      <c r="A92" s="138" t="s">
        <v>40</v>
      </c>
      <c r="B92" s="399" t="s">
        <v>115</v>
      </c>
      <c r="C92" s="399"/>
      <c r="D92" s="399"/>
      <c r="E92" s="399"/>
      <c r="F92" s="399"/>
      <c r="G92" s="399"/>
      <c r="H92" s="256">
        <f>'Inserir dados na planilha'!I43</f>
        <v>44.03</v>
      </c>
      <c r="I92" s="256">
        <f>ROUNDUP((H92*$H$37)*(1-'Inserir dados na planilha'!H43),2)</f>
        <v>44.03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</row>
    <row r="93" spans="1:257" x14ac:dyDescent="0.3">
      <c r="A93" s="138" t="s">
        <v>73</v>
      </c>
      <c r="B93" s="413" t="s">
        <v>378</v>
      </c>
      <c r="C93" s="414"/>
      <c r="D93" s="414"/>
      <c r="E93" s="414"/>
      <c r="F93" s="414"/>
      <c r="G93" s="415"/>
      <c r="H93" s="256">
        <f>'Inserir dados na planilha'!I44</f>
        <v>0</v>
      </c>
      <c r="I93" s="256">
        <f>ROUNDUP((H93*$H$37)*(1-'Inserir dados na planilha'!H44),2)</f>
        <v>0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</row>
    <row r="94" spans="1:257" x14ac:dyDescent="0.3">
      <c r="A94" s="138" t="s">
        <v>76</v>
      </c>
      <c r="B94" s="413" t="s">
        <v>379</v>
      </c>
      <c r="C94" s="414"/>
      <c r="D94" s="414"/>
      <c r="E94" s="414"/>
      <c r="F94" s="414"/>
      <c r="G94" s="415"/>
      <c r="H94" s="256">
        <f>'Inserir dados na planilha'!I45</f>
        <v>0</v>
      </c>
      <c r="I94" s="256">
        <f>ROUNDUP((H94*$H$37)*(1-'Inserir dados na planilha'!H45),2)</f>
        <v>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</row>
    <row r="95" spans="1:257" x14ac:dyDescent="0.3">
      <c r="A95" s="38"/>
      <c r="B95" s="396" t="s">
        <v>75</v>
      </c>
      <c r="C95" s="396"/>
      <c r="D95" s="396"/>
      <c r="E95" s="396"/>
      <c r="F95" s="396"/>
      <c r="G95" s="396"/>
      <c r="H95" s="396"/>
      <c r="I95" s="30">
        <f>TRUNC(SUM(I82:I94),2)</f>
        <v>668.63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</row>
    <row r="96" spans="1:257" x14ac:dyDescent="0.3">
      <c r="A96" s="375"/>
      <c r="B96" s="375"/>
      <c r="C96" s="375"/>
      <c r="D96" s="375"/>
      <c r="E96" s="375"/>
      <c r="F96" s="375"/>
      <c r="G96" s="375"/>
      <c r="H96" s="375"/>
      <c r="I96" s="375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</row>
    <row r="97" spans="1:257" x14ac:dyDescent="0.3">
      <c r="A97" s="408"/>
      <c r="B97" s="408"/>
      <c r="C97" s="408"/>
      <c r="D97" s="408"/>
      <c r="E97" s="408"/>
      <c r="F97" s="408"/>
      <c r="G97" s="408"/>
      <c r="H97" s="408"/>
      <c r="I97" s="408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</row>
    <row r="98" spans="1:257" ht="14.25" customHeight="1" x14ac:dyDescent="0.3">
      <c r="A98" s="375"/>
      <c r="B98" s="375"/>
      <c r="C98" s="375"/>
      <c r="D98" s="375"/>
      <c r="E98" s="375"/>
      <c r="F98" s="375"/>
      <c r="G98" s="375"/>
      <c r="H98" s="375"/>
      <c r="I98" s="375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</row>
    <row r="99" spans="1:257" ht="17.25" customHeight="1" x14ac:dyDescent="0.3">
      <c r="A99" s="391" t="s">
        <v>116</v>
      </c>
      <c r="B99" s="391"/>
      <c r="C99" s="391"/>
      <c r="D99" s="391"/>
      <c r="E99" s="391"/>
      <c r="F99" s="391"/>
      <c r="G99" s="391"/>
      <c r="H99" s="391"/>
      <c r="I99" s="391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spans="1:257" ht="15.75" customHeight="1" x14ac:dyDescent="0.3">
      <c r="A100" s="201">
        <v>2</v>
      </c>
      <c r="B100" s="402" t="s">
        <v>117</v>
      </c>
      <c r="C100" s="402"/>
      <c r="D100" s="402"/>
      <c r="E100" s="402"/>
      <c r="F100" s="402"/>
      <c r="G100" s="402"/>
      <c r="H100" s="402"/>
      <c r="I100" s="201" t="s">
        <v>85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spans="1:257" ht="14.25" customHeight="1" x14ac:dyDescent="0.3">
      <c r="A101" s="198" t="s">
        <v>82</v>
      </c>
      <c r="B101" s="359" t="s">
        <v>118</v>
      </c>
      <c r="C101" s="359"/>
      <c r="D101" s="359"/>
      <c r="E101" s="359"/>
      <c r="F101" s="359"/>
      <c r="G101" s="359"/>
      <c r="H101" s="359"/>
      <c r="I101" s="184">
        <f>I62</f>
        <v>259.39999999999998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</row>
    <row r="102" spans="1:257" ht="14.25" customHeight="1" x14ac:dyDescent="0.3">
      <c r="A102" s="198" t="s">
        <v>89</v>
      </c>
      <c r="B102" s="359" t="s">
        <v>90</v>
      </c>
      <c r="C102" s="359"/>
      <c r="D102" s="359"/>
      <c r="E102" s="359"/>
      <c r="F102" s="359"/>
      <c r="G102" s="359"/>
      <c r="H102" s="359"/>
      <c r="I102" s="184">
        <f>I76</f>
        <v>1012.46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</row>
    <row r="103" spans="1:257" ht="14.25" customHeight="1" x14ac:dyDescent="0.3">
      <c r="A103" s="198" t="s">
        <v>104</v>
      </c>
      <c r="B103" s="359" t="s">
        <v>105</v>
      </c>
      <c r="C103" s="359"/>
      <c r="D103" s="359"/>
      <c r="E103" s="359"/>
      <c r="F103" s="359"/>
      <c r="G103" s="359"/>
      <c r="H103" s="359"/>
      <c r="I103" s="184">
        <f>I95</f>
        <v>668.63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spans="1:257" ht="14.25" customHeight="1" x14ac:dyDescent="0.3">
      <c r="A104" s="390" t="s">
        <v>75</v>
      </c>
      <c r="B104" s="390"/>
      <c r="C104" s="390"/>
      <c r="D104" s="390"/>
      <c r="E104" s="390"/>
      <c r="F104" s="390"/>
      <c r="G104" s="390"/>
      <c r="H104" s="390"/>
      <c r="I104" s="39">
        <f>TRUNC(SUM(I101:I103),2)</f>
        <v>1940.49</v>
      </c>
      <c r="J104" s="2"/>
      <c r="K104" s="40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spans="1:257" ht="14.25" customHeight="1" x14ac:dyDescent="0.3">
      <c r="A105" s="375"/>
      <c r="B105" s="375"/>
      <c r="C105" s="375"/>
      <c r="D105" s="375"/>
      <c r="E105" s="375"/>
      <c r="F105" s="375"/>
      <c r="G105" s="375"/>
      <c r="H105" s="375"/>
      <c r="I105" s="375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</row>
    <row r="106" spans="1:257" ht="15.5" x14ac:dyDescent="0.3">
      <c r="A106" s="398" t="s">
        <v>119</v>
      </c>
      <c r="B106" s="398"/>
      <c r="C106" s="398"/>
      <c r="D106" s="398"/>
      <c r="E106" s="398"/>
      <c r="F106" s="398"/>
      <c r="G106" s="398"/>
      <c r="H106" s="398"/>
      <c r="I106" s="398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</row>
    <row r="107" spans="1:257" x14ac:dyDescent="0.3">
      <c r="A107" s="202">
        <v>3</v>
      </c>
      <c r="B107" s="416" t="s">
        <v>120</v>
      </c>
      <c r="C107" s="416"/>
      <c r="D107" s="416"/>
      <c r="E107" s="416"/>
      <c r="F107" s="416"/>
      <c r="G107" s="416"/>
      <c r="H107" s="41" t="s">
        <v>84</v>
      </c>
      <c r="I107" s="202" t="s">
        <v>121</v>
      </c>
    </row>
    <row r="108" spans="1:257" ht="15" customHeight="1" x14ac:dyDescent="0.3">
      <c r="A108" s="18" t="s">
        <v>34</v>
      </c>
      <c r="B108" s="359" t="s">
        <v>122</v>
      </c>
      <c r="C108" s="359"/>
      <c r="D108" s="359"/>
      <c r="E108" s="359"/>
      <c r="F108" s="359"/>
      <c r="G108" s="359"/>
      <c r="H108" s="275">
        <f>I108/($I$48+$I$62)</f>
        <v>4.5837657640657916E-3</v>
      </c>
      <c r="I108" s="16">
        <f>ROUNDUP(((((I48+I62)*5.5%)/12)),2)</f>
        <v>11.66</v>
      </c>
      <c r="J108" s="42"/>
    </row>
    <row r="109" spans="1:257" x14ac:dyDescent="0.3">
      <c r="A109" s="18" t="s">
        <v>36</v>
      </c>
      <c r="B109" s="393" t="s">
        <v>123</v>
      </c>
      <c r="C109" s="393"/>
      <c r="D109" s="393"/>
      <c r="E109" s="393"/>
      <c r="F109" s="393"/>
      <c r="G109" s="393"/>
      <c r="H109" s="216">
        <f>I109/($I$48+$I$62)</f>
        <v>3.6953171682863165E-4</v>
      </c>
      <c r="I109" s="16">
        <f>ROUNDUP($I$108*H75,2)</f>
        <v>0.94000000000000006</v>
      </c>
      <c r="J109" s="44"/>
    </row>
    <row r="110" spans="1:257" ht="13.5" customHeight="1" x14ac:dyDescent="0.3">
      <c r="A110" s="18" t="s">
        <v>38</v>
      </c>
      <c r="B110" s="359" t="s">
        <v>124</v>
      </c>
      <c r="C110" s="359"/>
      <c r="D110" s="359"/>
      <c r="E110" s="359"/>
      <c r="F110" s="359"/>
      <c r="G110" s="359"/>
      <c r="H110" s="43">
        <v>8.0000000000000002E-3</v>
      </c>
      <c r="I110" s="16">
        <f>ROUNDUP(H110*($I$48+$I$62),2)</f>
        <v>20.360000000000003</v>
      </c>
      <c r="J110" s="44"/>
    </row>
    <row r="111" spans="1:257" ht="15" customHeight="1" x14ac:dyDescent="0.3">
      <c r="A111" s="18" t="s">
        <v>40</v>
      </c>
      <c r="B111" s="359" t="s">
        <v>125</v>
      </c>
      <c r="C111" s="359"/>
      <c r="D111" s="359"/>
      <c r="E111" s="359"/>
      <c r="F111" s="359"/>
      <c r="G111" s="359"/>
      <c r="H111" s="276">
        <f>I111/($I$48+$I$62)</f>
        <v>1.9447589395225964E-2</v>
      </c>
      <c r="I111" s="16">
        <f>ROUNDUP(((($I$48+$I$62)/30)*7)/12,2)</f>
        <v>49.47</v>
      </c>
      <c r="J111" s="45"/>
    </row>
    <row r="112" spans="1:257" ht="24" customHeight="1" x14ac:dyDescent="0.3">
      <c r="A112" s="18" t="s">
        <v>73</v>
      </c>
      <c r="B112" s="359" t="s">
        <v>126</v>
      </c>
      <c r="C112" s="359"/>
      <c r="D112" s="359"/>
      <c r="E112" s="359"/>
      <c r="F112" s="359"/>
      <c r="G112" s="359"/>
      <c r="H112" s="43">
        <f>I112/($I$48+$I$62)</f>
        <v>7.7405101110167625E-3</v>
      </c>
      <c r="I112" s="16">
        <f>ROUNDUP(I111*H76,2)</f>
        <v>19.690000000000001</v>
      </c>
      <c r="J112" s="42"/>
    </row>
    <row r="113" spans="1:257" x14ac:dyDescent="0.3">
      <c r="A113" s="18" t="s">
        <v>76</v>
      </c>
      <c r="B113" s="359" t="s">
        <v>127</v>
      </c>
      <c r="C113" s="359"/>
      <c r="D113" s="359"/>
      <c r="E113" s="359"/>
      <c r="F113" s="359"/>
      <c r="G113" s="359"/>
      <c r="H113" s="28">
        <f>I113/(I48)</f>
        <v>3.2000210124498767E-2</v>
      </c>
      <c r="I113" s="16">
        <f>ROUNDUP((I48)*H75*40%,2)</f>
        <v>73.100000000000009</v>
      </c>
      <c r="J113" s="42"/>
    </row>
    <row r="114" spans="1:257" x14ac:dyDescent="0.3">
      <c r="A114" s="396" t="s">
        <v>75</v>
      </c>
      <c r="B114" s="396"/>
      <c r="C114" s="396"/>
      <c r="D114" s="396"/>
      <c r="E114" s="396"/>
      <c r="F114" s="396"/>
      <c r="G114" s="396"/>
      <c r="H114" s="396"/>
      <c r="I114" s="30">
        <f>TRUNC(SUM(I108:I113),2)</f>
        <v>175.22</v>
      </c>
    </row>
    <row r="115" spans="1:257" x14ac:dyDescent="0.3">
      <c r="A115" s="419"/>
      <c r="B115" s="419"/>
      <c r="C115" s="419"/>
      <c r="D115" s="419"/>
      <c r="E115" s="419"/>
      <c r="F115" s="419"/>
      <c r="G115" s="419"/>
      <c r="H115" s="419"/>
      <c r="I115" s="419"/>
    </row>
    <row r="116" spans="1:257" ht="17.25" customHeight="1" x14ac:dyDescent="0.3">
      <c r="A116" s="391" t="s">
        <v>128</v>
      </c>
      <c r="B116" s="391"/>
      <c r="C116" s="391"/>
      <c r="D116" s="391"/>
      <c r="E116" s="391"/>
      <c r="F116" s="391"/>
      <c r="G116" s="391"/>
      <c r="H116" s="391"/>
      <c r="I116" s="391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</row>
    <row r="117" spans="1:257" ht="17.25" hidden="1" customHeight="1" x14ac:dyDescent="0.35">
      <c r="A117" s="420" t="s">
        <v>129</v>
      </c>
      <c r="B117" s="420"/>
      <c r="C117" s="420"/>
      <c r="D117" s="420"/>
      <c r="E117" s="420"/>
      <c r="F117" s="420"/>
      <c r="G117" s="420"/>
      <c r="H117" s="420"/>
      <c r="I117" s="420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spans="1:257" ht="33.75" hidden="1" customHeight="1" x14ac:dyDescent="0.3">
      <c r="A118" s="46" t="s">
        <v>130</v>
      </c>
      <c r="B118" s="47">
        <f>I48</f>
        <v>2284.36</v>
      </c>
      <c r="C118" s="200"/>
      <c r="D118" s="48" t="s">
        <v>131</v>
      </c>
      <c r="E118" s="49">
        <f>I104-I82-I87</f>
        <v>1315.8899999999999</v>
      </c>
      <c r="F118" s="200"/>
      <c r="G118" s="46" t="s">
        <v>132</v>
      </c>
      <c r="H118" s="183">
        <f>I114</f>
        <v>175.22</v>
      </c>
      <c r="I118" s="50">
        <f>ROUND(B118+E118+H118,2)</f>
        <v>3775.47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19" spans="1:257" ht="15.5" x14ac:dyDescent="0.3">
      <c r="A119" s="391" t="s">
        <v>133</v>
      </c>
      <c r="B119" s="391"/>
      <c r="C119" s="391"/>
      <c r="D119" s="391"/>
      <c r="E119" s="391"/>
      <c r="F119" s="391"/>
      <c r="G119" s="391"/>
      <c r="H119" s="391"/>
      <c r="I119" s="391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</row>
    <row r="120" spans="1:257" x14ac:dyDescent="0.3">
      <c r="A120" s="51" t="s">
        <v>134</v>
      </c>
      <c r="B120" s="417" t="s">
        <v>135</v>
      </c>
      <c r="C120" s="417"/>
      <c r="D120" s="417"/>
      <c r="E120" s="417"/>
      <c r="F120" s="417"/>
      <c r="G120" s="417"/>
      <c r="H120" s="41" t="s">
        <v>84</v>
      </c>
      <c r="I120" s="52" t="s">
        <v>85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spans="1:257" ht="13.5" customHeight="1" x14ac:dyDescent="0.3">
      <c r="A121" s="18" t="s">
        <v>34</v>
      </c>
      <c r="B121" s="394" t="s">
        <v>136</v>
      </c>
      <c r="C121" s="394"/>
      <c r="D121" s="394"/>
      <c r="E121" s="394"/>
      <c r="F121" s="394"/>
      <c r="G121" s="394"/>
      <c r="H121" s="53">
        <v>9.0749999999999997E-2</v>
      </c>
      <c r="I121" s="16">
        <f>ROUNDUP($I$48*H121,2)</f>
        <v>207.31</v>
      </c>
      <c r="J121" s="2"/>
      <c r="K121" s="54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</row>
    <row r="122" spans="1:257" ht="13.5" customHeight="1" x14ac:dyDescent="0.3">
      <c r="A122" s="18" t="s">
        <v>137</v>
      </c>
      <c r="B122" s="394" t="s">
        <v>138</v>
      </c>
      <c r="C122" s="394"/>
      <c r="D122" s="394"/>
      <c r="E122" s="394"/>
      <c r="F122" s="394"/>
      <c r="G122" s="394"/>
      <c r="H122" s="194">
        <f>I122/($I$48+$I$62)</f>
        <v>3.2436236122904673E-2</v>
      </c>
      <c r="I122" s="16">
        <f>ROUNDUP(I121*H76,2)</f>
        <v>82.51</v>
      </c>
      <c r="J122" s="2"/>
      <c r="K122" s="54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</row>
    <row r="123" spans="1:257" ht="15" customHeight="1" x14ac:dyDescent="0.3">
      <c r="A123" s="18" t="s">
        <v>36</v>
      </c>
      <c r="B123" s="418" t="s">
        <v>139</v>
      </c>
      <c r="C123" s="418"/>
      <c r="D123" s="418"/>
      <c r="E123" s="418"/>
      <c r="F123" s="418"/>
      <c r="G123" s="418"/>
      <c r="H123" s="264">
        <f>'Inserir dados na planilha'!I49</f>
        <v>1.6299999999999999E-2</v>
      </c>
      <c r="I123" s="212">
        <f>ROUNDUP(H123*$I$118,2)</f>
        <v>61.55</v>
      </c>
      <c r="J123" s="5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</row>
    <row r="124" spans="1:257" ht="15" customHeight="1" x14ac:dyDescent="0.3">
      <c r="A124" s="18" t="s">
        <v>38</v>
      </c>
      <c r="B124" s="359" t="s">
        <v>140</v>
      </c>
      <c r="C124" s="359"/>
      <c r="D124" s="359"/>
      <c r="E124" s="359"/>
      <c r="F124" s="359"/>
      <c r="G124" s="359"/>
      <c r="H124" s="264">
        <f>'Inserir dados na planilha'!I50</f>
        <v>2.3000000000000001E-4</v>
      </c>
      <c r="I124" s="212">
        <f>ROUNDUP(H124*$I$118,2)</f>
        <v>0.87</v>
      </c>
      <c r="J124" s="56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spans="1:257" ht="15" customHeight="1" x14ac:dyDescent="0.3">
      <c r="A125" s="18" t="s">
        <v>40</v>
      </c>
      <c r="B125" s="359" t="s">
        <v>141</v>
      </c>
      <c r="C125" s="359"/>
      <c r="D125" s="359"/>
      <c r="E125" s="359"/>
      <c r="F125" s="359"/>
      <c r="G125" s="359"/>
      <c r="H125" s="264">
        <f>'Inserir dados na planilha'!I51</f>
        <v>3.3E-3</v>
      </c>
      <c r="I125" s="212">
        <f>ROUNDUP(H125*$I$118,2)</f>
        <v>12.459999999999999</v>
      </c>
      <c r="J125" s="56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spans="1:257" ht="15" customHeight="1" x14ac:dyDescent="0.3">
      <c r="A126" s="18" t="s">
        <v>73</v>
      </c>
      <c r="B126" s="359" t="s">
        <v>142</v>
      </c>
      <c r="C126" s="359"/>
      <c r="D126" s="359"/>
      <c r="E126" s="359"/>
      <c r="F126" s="359"/>
      <c r="G126" s="359"/>
      <c r="H126" s="265">
        <f>'Inserir dados na planilha'!I52</f>
        <v>5.5000000000000003E-4</v>
      </c>
      <c r="I126" s="212">
        <f>ROUNDUP(H126*$I$118,2)</f>
        <v>2.0799999999999996</v>
      </c>
      <c r="J126" s="56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</row>
    <row r="127" spans="1:257" ht="15" customHeight="1" x14ac:dyDescent="0.3">
      <c r="A127" s="18" t="s">
        <v>76</v>
      </c>
      <c r="B127" s="359" t="s">
        <v>143</v>
      </c>
      <c r="C127" s="359"/>
      <c r="D127" s="359"/>
      <c r="E127" s="359"/>
      <c r="F127" s="359"/>
      <c r="G127" s="359"/>
      <c r="H127" s="264">
        <f>'Inserir dados na planilha'!I53</f>
        <v>1.3899999999999999E-2</v>
      </c>
      <c r="I127" s="212">
        <f>ROUNDUP(H127*$I$118,2)</f>
        <v>52.48</v>
      </c>
      <c r="J127" s="56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</row>
    <row r="128" spans="1:257" ht="15.5" x14ac:dyDescent="0.3">
      <c r="A128" s="422" t="s">
        <v>75</v>
      </c>
      <c r="B128" s="422"/>
      <c r="C128" s="422"/>
      <c r="D128" s="422"/>
      <c r="E128" s="422"/>
      <c r="F128" s="422"/>
      <c r="G128" s="422"/>
      <c r="H128" s="422"/>
      <c r="I128" s="57">
        <f>TRUNC(SUM(I121:I127),2)</f>
        <v>419.26</v>
      </c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</row>
    <row r="129" spans="1:257" x14ac:dyDescent="0.3">
      <c r="A129" s="419"/>
      <c r="B129" s="419"/>
      <c r="C129" s="419"/>
      <c r="D129" s="419"/>
      <c r="E129" s="419"/>
      <c r="F129" s="419"/>
      <c r="G129" s="419"/>
      <c r="H129" s="419"/>
      <c r="I129" s="419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</row>
    <row r="130" spans="1:257" x14ac:dyDescent="0.3">
      <c r="A130" s="407" t="s">
        <v>144</v>
      </c>
      <c r="B130" s="407"/>
      <c r="C130" s="407"/>
      <c r="D130" s="407"/>
      <c r="E130" s="407"/>
      <c r="F130" s="407"/>
      <c r="G130" s="407"/>
      <c r="H130" s="407"/>
      <c r="I130" s="407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</row>
    <row r="131" spans="1:257" x14ac:dyDescent="0.3">
      <c r="A131" s="202" t="s">
        <v>145</v>
      </c>
      <c r="B131" s="416" t="s">
        <v>146</v>
      </c>
      <c r="C131" s="416"/>
      <c r="D131" s="416"/>
      <c r="E131" s="416"/>
      <c r="F131" s="416"/>
      <c r="G131" s="416"/>
      <c r="H131" s="416"/>
      <c r="I131" s="50" t="s">
        <v>85</v>
      </c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</row>
    <row r="132" spans="1:257" x14ac:dyDescent="0.3">
      <c r="A132" s="18" t="s">
        <v>34</v>
      </c>
      <c r="B132" s="393" t="s">
        <v>147</v>
      </c>
      <c r="C132" s="393"/>
      <c r="D132" s="393"/>
      <c r="E132" s="393"/>
      <c r="F132" s="393"/>
      <c r="G132" s="393"/>
      <c r="H132" s="393"/>
      <c r="I132" s="16">
        <v>0</v>
      </c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</row>
    <row r="133" spans="1:257" ht="15.5" x14ac:dyDescent="0.3">
      <c r="A133" s="421" t="s">
        <v>75</v>
      </c>
      <c r="B133" s="421"/>
      <c r="C133" s="421"/>
      <c r="D133" s="421"/>
      <c r="E133" s="421"/>
      <c r="F133" s="421"/>
      <c r="G133" s="421"/>
      <c r="H133" s="421"/>
      <c r="I133" s="16">
        <v>0</v>
      </c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</row>
    <row r="134" spans="1:257" ht="14.25" customHeight="1" x14ac:dyDescent="0.3">
      <c r="A134" s="419"/>
      <c r="B134" s="419"/>
      <c r="C134" s="419"/>
      <c r="D134" s="419"/>
      <c r="E134" s="419"/>
      <c r="F134" s="419"/>
      <c r="G134" s="419"/>
      <c r="H134" s="419"/>
      <c r="I134" s="419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</row>
    <row r="135" spans="1:257" ht="17.25" customHeight="1" x14ac:dyDescent="0.3">
      <c r="A135" s="391" t="s">
        <v>148</v>
      </c>
      <c r="B135" s="391"/>
      <c r="C135" s="391"/>
      <c r="D135" s="391"/>
      <c r="E135" s="391"/>
      <c r="F135" s="391"/>
      <c r="G135" s="391"/>
      <c r="H135" s="391"/>
      <c r="I135" s="39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</row>
    <row r="136" spans="1:257" x14ac:dyDescent="0.3">
      <c r="A136" s="201">
        <v>4</v>
      </c>
      <c r="B136" s="416" t="s">
        <v>149</v>
      </c>
      <c r="C136" s="416"/>
      <c r="D136" s="416"/>
      <c r="E136" s="416"/>
      <c r="F136" s="416"/>
      <c r="G136" s="416"/>
      <c r="H136" s="416"/>
      <c r="I136" s="50" t="s">
        <v>85</v>
      </c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</row>
    <row r="137" spans="1:257" x14ac:dyDescent="0.3">
      <c r="A137" s="198" t="s">
        <v>134</v>
      </c>
      <c r="B137" s="393" t="s">
        <v>135</v>
      </c>
      <c r="C137" s="393"/>
      <c r="D137" s="393"/>
      <c r="E137" s="393"/>
      <c r="F137" s="393"/>
      <c r="G137" s="393"/>
      <c r="H137" s="393"/>
      <c r="I137" s="16">
        <f>I128</f>
        <v>419.26</v>
      </c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spans="1:257" x14ac:dyDescent="0.3">
      <c r="A138" s="198" t="s">
        <v>145</v>
      </c>
      <c r="B138" s="393" t="s">
        <v>146</v>
      </c>
      <c r="C138" s="393"/>
      <c r="D138" s="393"/>
      <c r="E138" s="393"/>
      <c r="F138" s="393"/>
      <c r="G138" s="393"/>
      <c r="H138" s="393"/>
      <c r="I138" s="16">
        <f>I133</f>
        <v>0</v>
      </c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spans="1:257" ht="14.25" customHeight="1" x14ac:dyDescent="0.3">
      <c r="A139" s="390" t="s">
        <v>75</v>
      </c>
      <c r="B139" s="390"/>
      <c r="C139" s="390"/>
      <c r="D139" s="390"/>
      <c r="E139" s="390"/>
      <c r="F139" s="390"/>
      <c r="G139" s="390"/>
      <c r="H139" s="390"/>
      <c r="I139" s="30">
        <f>TRUNC(SUM(I137:I138),2)</f>
        <v>419.26</v>
      </c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spans="1:257" x14ac:dyDescent="0.3">
      <c r="A140" s="375"/>
      <c r="B140" s="375"/>
      <c r="C140" s="375"/>
      <c r="D140" s="375"/>
      <c r="E140" s="375"/>
      <c r="F140" s="375"/>
      <c r="G140" s="375"/>
      <c r="H140" s="375"/>
      <c r="I140" s="375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spans="1:257" ht="17.25" customHeight="1" x14ac:dyDescent="0.3">
      <c r="A141" s="391" t="s">
        <v>150</v>
      </c>
      <c r="B141" s="391"/>
      <c r="C141" s="391"/>
      <c r="D141" s="391"/>
      <c r="E141" s="391"/>
      <c r="F141" s="391"/>
      <c r="G141" s="391"/>
      <c r="H141" s="391"/>
      <c r="I141" s="391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spans="1:257" ht="27.5" customHeight="1" x14ac:dyDescent="0.3">
      <c r="A142" s="202">
        <v>5</v>
      </c>
      <c r="B142" s="424" t="s">
        <v>151</v>
      </c>
      <c r="C142" s="425"/>
      <c r="D142" s="425"/>
      <c r="E142" s="425"/>
      <c r="F142" s="425"/>
      <c r="G142" s="426"/>
      <c r="H142" s="210" t="s">
        <v>398</v>
      </c>
      <c r="I142" s="209" t="s">
        <v>85</v>
      </c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spans="1:257" ht="14.25" customHeight="1" x14ac:dyDescent="0.3">
      <c r="A143" s="18" t="s">
        <v>34</v>
      </c>
      <c r="B143" s="443" t="s">
        <v>152</v>
      </c>
      <c r="C143" s="444"/>
      <c r="D143" s="444"/>
      <c r="E143" s="444"/>
      <c r="F143" s="444"/>
      <c r="G143" s="445"/>
      <c r="H143" s="214">
        <f>'Uniforme e Materiais - Grupo 1'!F18</f>
        <v>215.5</v>
      </c>
      <c r="I143" s="214">
        <f>H143*H37</f>
        <v>215.5</v>
      </c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spans="1:257" ht="14.25" customHeight="1" x14ac:dyDescent="0.3">
      <c r="A144" s="18" t="s">
        <v>36</v>
      </c>
      <c r="B144" s="399" t="s">
        <v>153</v>
      </c>
      <c r="C144" s="399"/>
      <c r="D144" s="399"/>
      <c r="E144" s="399"/>
      <c r="F144" s="399"/>
      <c r="G144" s="399"/>
      <c r="H144" s="399"/>
      <c r="I144" s="214">
        <f>'Uniforme e Materiais - Grupo 1'!F36</f>
        <v>241.35</v>
      </c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</row>
    <row r="145" spans="1:257" x14ac:dyDescent="0.3">
      <c r="A145" s="18" t="s">
        <v>38</v>
      </c>
      <c r="B145" s="442" t="s">
        <v>154</v>
      </c>
      <c r="C145" s="442"/>
      <c r="D145" s="442"/>
      <c r="E145" s="442"/>
      <c r="F145" s="442"/>
      <c r="G145" s="442"/>
      <c r="H145" s="442"/>
      <c r="I145" s="219">
        <v>0</v>
      </c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spans="1:257" ht="14.25" customHeight="1" x14ac:dyDescent="0.3">
      <c r="A146" s="18" t="s">
        <v>40</v>
      </c>
      <c r="B146" s="399" t="s">
        <v>155</v>
      </c>
      <c r="C146" s="399"/>
      <c r="D146" s="399"/>
      <c r="E146" s="399"/>
      <c r="F146" s="399"/>
      <c r="G146" s="399"/>
      <c r="H146" s="399"/>
      <c r="I146" s="219">
        <v>0</v>
      </c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</row>
    <row r="147" spans="1:257" x14ac:dyDescent="0.3">
      <c r="A147" s="396" t="s">
        <v>75</v>
      </c>
      <c r="B147" s="396"/>
      <c r="C147" s="396"/>
      <c r="D147" s="396"/>
      <c r="E147" s="396"/>
      <c r="F147" s="396"/>
      <c r="G147" s="396"/>
      <c r="H147" s="396"/>
      <c r="I147" s="39">
        <f>TRUNC(SUM(I143:I146),2)</f>
        <v>456.85</v>
      </c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</row>
    <row r="148" spans="1:257" x14ac:dyDescent="0.3">
      <c r="A148" s="375"/>
      <c r="B148" s="375"/>
      <c r="C148" s="375"/>
      <c r="D148" s="375"/>
      <c r="E148" s="375"/>
      <c r="F148" s="375"/>
      <c r="G148" s="375"/>
      <c r="H148" s="375"/>
      <c r="I148" s="375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</row>
    <row r="149" spans="1:257" x14ac:dyDescent="0.3">
      <c r="A149" s="423"/>
      <c r="B149" s="423"/>
      <c r="C149" s="423"/>
      <c r="D149" s="423"/>
      <c r="E149" s="423"/>
      <c r="F149" s="423"/>
      <c r="G149" s="423"/>
      <c r="H149" s="423"/>
      <c r="I149" s="423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</row>
    <row r="150" spans="1:257" ht="18" x14ac:dyDescent="0.3">
      <c r="A150" s="58"/>
      <c r="B150" s="59"/>
      <c r="C150" s="59"/>
      <c r="D150" s="59"/>
      <c r="E150" s="59"/>
      <c r="F150" s="59"/>
      <c r="G150" s="59"/>
      <c r="H150" s="59"/>
      <c r="I150" s="60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</row>
    <row r="151" spans="1:257" ht="15.5" x14ac:dyDescent="0.3">
      <c r="A151" s="398" t="s">
        <v>156</v>
      </c>
      <c r="B151" s="398"/>
      <c r="C151" s="398"/>
      <c r="D151" s="398"/>
      <c r="E151" s="398"/>
      <c r="F151" s="398"/>
      <c r="G151" s="398"/>
      <c r="H151" s="398"/>
      <c r="I151" s="398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</row>
    <row r="152" spans="1:257" ht="28" x14ac:dyDescent="0.3">
      <c r="A152" s="202">
        <v>6</v>
      </c>
      <c r="B152" s="416" t="s">
        <v>157</v>
      </c>
      <c r="C152" s="416"/>
      <c r="D152" s="416"/>
      <c r="E152" s="416"/>
      <c r="F152" s="416"/>
      <c r="G152" s="416"/>
      <c r="H152" s="26" t="s">
        <v>84</v>
      </c>
      <c r="I152" s="61" t="s">
        <v>67</v>
      </c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</row>
    <row r="153" spans="1:257" ht="13.5" customHeight="1" x14ac:dyDescent="0.3">
      <c r="A153" s="394" t="s">
        <v>158</v>
      </c>
      <c r="B153" s="394"/>
      <c r="C153" s="394"/>
      <c r="D153" s="394"/>
      <c r="E153" s="394"/>
      <c r="F153" s="394"/>
      <c r="G153" s="394"/>
      <c r="H153" s="18" t="s">
        <v>164</v>
      </c>
      <c r="I153" s="16">
        <f>(I53+I104+I114+I139+I147)</f>
        <v>5276.1800000000012</v>
      </c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</row>
    <row r="154" spans="1:257" ht="15.5" x14ac:dyDescent="0.3">
      <c r="A154" s="62" t="s">
        <v>34</v>
      </c>
      <c r="B154" s="391" t="s">
        <v>159</v>
      </c>
      <c r="C154" s="391"/>
      <c r="D154" s="391"/>
      <c r="E154" s="391"/>
      <c r="F154" s="391"/>
      <c r="G154" s="391"/>
      <c r="H154" s="213">
        <f>'Inserir dados na planilha'!I57</f>
        <v>0.05</v>
      </c>
      <c r="I154" s="212">
        <f>ROUNDUP(H154*I153,2)</f>
        <v>263.81</v>
      </c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</row>
    <row r="155" spans="1:257" ht="13.5" customHeight="1" x14ac:dyDescent="0.3">
      <c r="A155" s="394" t="s">
        <v>160</v>
      </c>
      <c r="B155" s="394"/>
      <c r="C155" s="394"/>
      <c r="D155" s="394"/>
      <c r="E155" s="394"/>
      <c r="F155" s="394"/>
      <c r="G155" s="394"/>
      <c r="H155" s="257" t="s">
        <v>164</v>
      </c>
      <c r="I155" s="212">
        <f>(I53+I104+I114+I139+I147+I154)</f>
        <v>5539.9900000000016</v>
      </c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</row>
    <row r="156" spans="1:257" ht="15.5" x14ac:dyDescent="0.3">
      <c r="A156" s="62" t="s">
        <v>36</v>
      </c>
      <c r="B156" s="398" t="s">
        <v>161</v>
      </c>
      <c r="C156" s="398"/>
      <c r="D156" s="398"/>
      <c r="E156" s="398"/>
      <c r="F156" s="398"/>
      <c r="G156" s="398"/>
      <c r="H156" s="213">
        <f>'Inserir dados na planilha'!I58</f>
        <v>0.1</v>
      </c>
      <c r="I156" s="212">
        <f>ROUNDUP(H156*I155,2)</f>
        <v>554</v>
      </c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</row>
    <row r="157" spans="1:257" ht="13.5" customHeight="1" x14ac:dyDescent="0.3">
      <c r="A157" s="394" t="s">
        <v>162</v>
      </c>
      <c r="B157" s="394"/>
      <c r="C157" s="394"/>
      <c r="D157" s="394"/>
      <c r="E157" s="394"/>
      <c r="F157" s="394"/>
      <c r="G157" s="394"/>
      <c r="H157" s="266" t="s">
        <v>164</v>
      </c>
      <c r="I157" s="212">
        <f>(I53+I104+I114+I139+I147+I154+I156)</f>
        <v>6093.9900000000016</v>
      </c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</row>
    <row r="158" spans="1:257" ht="15.5" x14ac:dyDescent="0.3">
      <c r="A158" s="62" t="s">
        <v>38</v>
      </c>
      <c r="B158" s="398" t="s">
        <v>163</v>
      </c>
      <c r="C158" s="398"/>
      <c r="D158" s="398"/>
      <c r="E158" s="398"/>
      <c r="F158" s="398"/>
      <c r="G158" s="398"/>
      <c r="H158" s="266" t="s">
        <v>164</v>
      </c>
      <c r="I158" s="211" t="s">
        <v>164</v>
      </c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</row>
    <row r="159" spans="1:257" ht="15.5" x14ac:dyDescent="0.3">
      <c r="A159" s="18"/>
      <c r="B159" s="398" t="s">
        <v>165</v>
      </c>
      <c r="C159" s="398"/>
      <c r="D159" s="398"/>
      <c r="E159" s="398"/>
      <c r="F159" s="398"/>
      <c r="G159" s="398"/>
      <c r="H159" s="266" t="s">
        <v>164</v>
      </c>
      <c r="I159" s="211" t="s">
        <v>164</v>
      </c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</row>
    <row r="160" spans="1:257" ht="15.5" x14ac:dyDescent="0.3">
      <c r="A160" s="18"/>
      <c r="B160" s="391" t="s">
        <v>166</v>
      </c>
      <c r="C160" s="391"/>
      <c r="D160" s="391"/>
      <c r="E160" s="391"/>
      <c r="F160" s="391"/>
      <c r="G160" s="391"/>
      <c r="H160" s="213">
        <f>'Inserir dados na planilha'!I59</f>
        <v>0.03</v>
      </c>
      <c r="I160" s="212">
        <f>ROUNDUP(($I$157/(1-$H$167))*H160,2)</f>
        <v>200.14</v>
      </c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spans="1:257" ht="15.5" x14ac:dyDescent="0.3">
      <c r="A161" s="18"/>
      <c r="B161" s="391" t="s">
        <v>167</v>
      </c>
      <c r="C161" s="391"/>
      <c r="D161" s="391"/>
      <c r="E161" s="391"/>
      <c r="F161" s="391"/>
      <c r="G161" s="391"/>
      <c r="H161" s="213">
        <f>'Inserir dados na planilha'!I60</f>
        <v>6.4999999999999997E-3</v>
      </c>
      <c r="I161" s="212">
        <f>ROUNDUP(($I$157/(1-$H$167))*H161,2)</f>
        <v>43.37</v>
      </c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</row>
    <row r="162" spans="1:257" ht="14.25" customHeight="1" x14ac:dyDescent="0.3">
      <c r="A162" s="18"/>
      <c r="B162" s="389" t="s">
        <v>168</v>
      </c>
      <c r="C162" s="389"/>
      <c r="D162" s="389"/>
      <c r="E162" s="389"/>
      <c r="F162" s="389"/>
      <c r="G162" s="389"/>
      <c r="H162" s="20" t="s">
        <v>164</v>
      </c>
      <c r="I162" s="36" t="s">
        <v>164</v>
      </c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</row>
    <row r="163" spans="1:257" ht="17.25" customHeight="1" x14ac:dyDescent="0.3">
      <c r="A163" s="18"/>
      <c r="B163" s="391" t="s">
        <v>169</v>
      </c>
      <c r="C163" s="391"/>
      <c r="D163" s="391"/>
      <c r="E163" s="391"/>
      <c r="F163" s="391"/>
      <c r="G163" s="391"/>
      <c r="H163" s="20" t="s">
        <v>164</v>
      </c>
      <c r="I163" s="36" t="s">
        <v>164</v>
      </c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</row>
    <row r="164" spans="1:257" x14ac:dyDescent="0.3">
      <c r="A164" s="18"/>
      <c r="B164" s="365" t="s">
        <v>384</v>
      </c>
      <c r="C164" s="366"/>
      <c r="D164" s="366"/>
      <c r="E164" s="366"/>
      <c r="F164" s="366"/>
      <c r="G164" s="367"/>
      <c r="H164" s="213">
        <f>'Inserir dados na planilha'!I63</f>
        <v>0.05</v>
      </c>
      <c r="I164" s="16">
        <f>ROUNDUP(($I$157/(1-$H$167))*H164,2)</f>
        <v>333.56</v>
      </c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</row>
    <row r="165" spans="1:257" x14ac:dyDescent="0.3">
      <c r="A165" s="396" t="s">
        <v>75</v>
      </c>
      <c r="B165" s="396"/>
      <c r="C165" s="396"/>
      <c r="D165" s="396"/>
      <c r="E165" s="396"/>
      <c r="F165" s="396"/>
      <c r="G165" s="396"/>
      <c r="H165" s="396"/>
      <c r="I165" s="30">
        <f>SUM(I154+I156+I160+I161+I164)</f>
        <v>1394.8799999999999</v>
      </c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</row>
    <row r="166" spans="1:257" x14ac:dyDescent="0.3">
      <c r="A166" s="375"/>
      <c r="B166" s="375"/>
      <c r="C166" s="375"/>
      <c r="D166" s="375"/>
      <c r="E166" s="375"/>
      <c r="F166" s="375"/>
      <c r="G166" s="375"/>
      <c r="H166" s="375"/>
      <c r="I166" s="375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</row>
    <row r="167" spans="1:257" ht="14.25" customHeight="1" x14ac:dyDescent="0.3">
      <c r="A167" s="427" t="s">
        <v>170</v>
      </c>
      <c r="B167" s="427"/>
      <c r="C167" s="427"/>
      <c r="D167" s="427"/>
      <c r="E167" s="427"/>
      <c r="F167" s="427"/>
      <c r="G167" s="427"/>
      <c r="H167" s="28">
        <f>SUM(H160:H164)</f>
        <v>8.6499999999999994E-2</v>
      </c>
      <c r="I167" s="16">
        <f>SUM(I160:I164)</f>
        <v>577.06999999999994</v>
      </c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</row>
    <row r="168" spans="1:257" x14ac:dyDescent="0.3">
      <c r="A168" s="428" t="s">
        <v>171</v>
      </c>
      <c r="B168" s="428"/>
      <c r="C168" s="429" t="s">
        <v>172</v>
      </c>
      <c r="D168" s="429"/>
      <c r="E168" s="429"/>
      <c r="F168" s="429"/>
      <c r="G168" s="429"/>
      <c r="H168" s="429"/>
      <c r="I168" s="429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</row>
    <row r="169" spans="1:257" x14ac:dyDescent="0.3">
      <c r="A169" s="428"/>
      <c r="B169" s="428"/>
      <c r="C169" s="430" t="s">
        <v>173</v>
      </c>
      <c r="D169" s="430"/>
      <c r="E169" s="430"/>
      <c r="F169" s="430"/>
      <c r="G169" s="430"/>
      <c r="H169" s="430"/>
      <c r="I169" s="430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</row>
    <row r="170" spans="1:257" x14ac:dyDescent="0.3">
      <c r="A170" s="428"/>
      <c r="B170" s="428"/>
      <c r="C170" s="431" t="s">
        <v>174</v>
      </c>
      <c r="D170" s="431"/>
      <c r="E170" s="431"/>
      <c r="F170" s="431"/>
      <c r="G170" s="431"/>
      <c r="H170" s="431"/>
      <c r="I170" s="431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spans="1:257" x14ac:dyDescent="0.3">
      <c r="A171" s="433"/>
      <c r="B171" s="433"/>
      <c r="C171" s="433"/>
      <c r="D171" s="433"/>
      <c r="E171" s="433"/>
      <c r="F171" s="433"/>
      <c r="G171" s="433"/>
      <c r="H171" s="433"/>
      <c r="I171" s="433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spans="1:257" x14ac:dyDescent="0.3">
      <c r="A172" s="408"/>
      <c r="B172" s="408"/>
      <c r="C172" s="408"/>
      <c r="D172" s="408"/>
      <c r="E172" s="408"/>
      <c r="F172" s="408"/>
      <c r="G172" s="408"/>
      <c r="H172" s="408"/>
      <c r="I172" s="408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spans="1:257" x14ac:dyDescent="0.3">
      <c r="A173" s="375"/>
      <c r="B173" s="375"/>
      <c r="C173" s="375"/>
      <c r="D173" s="375"/>
      <c r="E173" s="375"/>
      <c r="F173" s="375"/>
      <c r="G173" s="375"/>
      <c r="H173" s="375"/>
      <c r="I173" s="375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spans="1:257" ht="39" customHeight="1" x14ac:dyDescent="0.3">
      <c r="A174" s="434" t="s">
        <v>175</v>
      </c>
      <c r="B174" s="434"/>
      <c r="C174" s="434"/>
      <c r="D174" s="434"/>
      <c r="E174" s="434"/>
      <c r="F174" s="434"/>
      <c r="G174" s="434"/>
      <c r="H174" s="434"/>
      <c r="I174" s="434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</row>
    <row r="175" spans="1:257" ht="24.75" customHeight="1" x14ac:dyDescent="0.3">
      <c r="A175" s="435" t="s">
        <v>176</v>
      </c>
      <c r="B175" s="435"/>
      <c r="C175" s="435"/>
      <c r="D175" s="435"/>
      <c r="E175" s="435"/>
      <c r="F175" s="435"/>
      <c r="G175" s="435"/>
      <c r="H175" s="435"/>
      <c r="I175" s="199" t="s">
        <v>85</v>
      </c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spans="1:257" ht="14.25" customHeight="1" x14ac:dyDescent="0.3">
      <c r="A176" s="63" t="s">
        <v>34</v>
      </c>
      <c r="B176" s="359" t="s">
        <v>177</v>
      </c>
      <c r="C176" s="359"/>
      <c r="D176" s="359"/>
      <c r="E176" s="359"/>
      <c r="F176" s="359"/>
      <c r="G176" s="359"/>
      <c r="H176" s="359"/>
      <c r="I176" s="37">
        <f>I53</f>
        <v>2284.36</v>
      </c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</row>
    <row r="177" spans="1:257" ht="14.25" customHeight="1" x14ac:dyDescent="0.3">
      <c r="A177" s="63" t="s">
        <v>36</v>
      </c>
      <c r="B177" s="359" t="s">
        <v>80</v>
      </c>
      <c r="C177" s="359"/>
      <c r="D177" s="359"/>
      <c r="E177" s="359"/>
      <c r="F177" s="359"/>
      <c r="G177" s="359"/>
      <c r="H177" s="359"/>
      <c r="I177" s="37">
        <f>I104</f>
        <v>1940.49</v>
      </c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spans="1:257" ht="14.25" customHeight="1" x14ac:dyDescent="0.3">
      <c r="A178" s="63" t="s">
        <v>38</v>
      </c>
      <c r="B178" s="359" t="s">
        <v>178</v>
      </c>
      <c r="C178" s="359"/>
      <c r="D178" s="359"/>
      <c r="E178" s="359"/>
      <c r="F178" s="359"/>
      <c r="G178" s="359"/>
      <c r="H178" s="359"/>
      <c r="I178" s="37">
        <f>I114</f>
        <v>175.22</v>
      </c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spans="1:257" ht="14.25" customHeight="1" x14ac:dyDescent="0.3">
      <c r="A179" s="63" t="s">
        <v>40</v>
      </c>
      <c r="B179" s="359" t="s">
        <v>179</v>
      </c>
      <c r="C179" s="359"/>
      <c r="D179" s="359"/>
      <c r="E179" s="359"/>
      <c r="F179" s="359"/>
      <c r="G179" s="359"/>
      <c r="H179" s="359"/>
      <c r="I179" s="37">
        <f>I139</f>
        <v>419.26</v>
      </c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</row>
    <row r="180" spans="1:257" ht="14.25" customHeight="1" x14ac:dyDescent="0.3">
      <c r="A180" s="63" t="s">
        <v>73</v>
      </c>
      <c r="B180" s="359" t="s">
        <v>180</v>
      </c>
      <c r="C180" s="359"/>
      <c r="D180" s="359"/>
      <c r="E180" s="359"/>
      <c r="F180" s="359"/>
      <c r="G180" s="359"/>
      <c r="H180" s="359"/>
      <c r="I180" s="37">
        <f>I147</f>
        <v>456.85</v>
      </c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spans="1:257" ht="14.25" customHeight="1" x14ac:dyDescent="0.3">
      <c r="A181" s="432" t="s">
        <v>181</v>
      </c>
      <c r="B181" s="432"/>
      <c r="C181" s="432"/>
      <c r="D181" s="432"/>
      <c r="E181" s="432"/>
      <c r="F181" s="432"/>
      <c r="G181" s="432"/>
      <c r="H181" s="432"/>
      <c r="I181" s="39">
        <f>TRUNC(SUM(I176:I180),2)</f>
        <v>5276.18</v>
      </c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spans="1:257" ht="14.25" customHeight="1" x14ac:dyDescent="0.3">
      <c r="A182" s="64" t="s">
        <v>76</v>
      </c>
      <c r="B182" s="367" t="s">
        <v>182</v>
      </c>
      <c r="C182" s="367"/>
      <c r="D182" s="367"/>
      <c r="E182" s="367"/>
      <c r="F182" s="367"/>
      <c r="G182" s="367"/>
      <c r="H182" s="367"/>
      <c r="I182" s="37">
        <f>I165</f>
        <v>1394.8799999999999</v>
      </c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spans="1:257" ht="14.25" customHeight="1" x14ac:dyDescent="0.3">
      <c r="A183" s="432" t="s">
        <v>183</v>
      </c>
      <c r="B183" s="432"/>
      <c r="C183" s="432"/>
      <c r="D183" s="432"/>
      <c r="E183" s="432"/>
      <c r="F183" s="432"/>
      <c r="G183" s="432"/>
      <c r="H183" s="432"/>
      <c r="I183" s="39">
        <f>TRUNC(SUM(I181:I182),2)</f>
        <v>6671.06</v>
      </c>
      <c r="J183" s="40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spans="1:257" ht="14.25" customHeight="1" x14ac:dyDescent="0.3">
      <c r="A184" s="432" t="s">
        <v>184</v>
      </c>
      <c r="B184" s="432"/>
      <c r="C184" s="432"/>
      <c r="D184" s="432"/>
      <c r="E184" s="432"/>
      <c r="F184" s="432"/>
      <c r="G184" s="432"/>
      <c r="H184" s="432"/>
      <c r="I184" s="65">
        <v>1</v>
      </c>
      <c r="J184" s="40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spans="1:257" ht="14.25" customHeight="1" x14ac:dyDescent="0.3">
      <c r="A185" s="432" t="s">
        <v>185</v>
      </c>
      <c r="B185" s="432"/>
      <c r="C185" s="432"/>
      <c r="D185" s="432"/>
      <c r="E185" s="432"/>
      <c r="F185" s="432"/>
      <c r="G185" s="432"/>
      <c r="H185" s="432"/>
      <c r="I185" s="39">
        <f>I183/H37</f>
        <v>6671.06</v>
      </c>
      <c r="J185" s="40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spans="1:257" ht="14.25" customHeight="1" x14ac:dyDescent="0.3">
      <c r="A186" s="432" t="s">
        <v>186</v>
      </c>
      <c r="B186" s="432"/>
      <c r="C186" s="432"/>
      <c r="D186" s="432"/>
      <c r="E186" s="432"/>
      <c r="F186" s="432"/>
      <c r="G186" s="432"/>
      <c r="H186" s="432"/>
      <c r="I186" s="65">
        <f>H37*I184</f>
        <v>1</v>
      </c>
      <c r="J186" s="40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spans="1:257" ht="14.25" customHeight="1" x14ac:dyDescent="0.3">
      <c r="A187" s="375"/>
      <c r="B187" s="375"/>
      <c r="C187" s="375"/>
      <c r="D187" s="375"/>
      <c r="E187" s="375"/>
      <c r="F187" s="375"/>
      <c r="G187" s="375"/>
      <c r="H187" s="375"/>
      <c r="I187" s="375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spans="1:257" ht="14.25" customHeight="1" x14ac:dyDescent="0.3">
      <c r="A188" s="432" t="s">
        <v>187</v>
      </c>
      <c r="B188" s="432"/>
      <c r="C188" s="432"/>
      <c r="D188" s="432"/>
      <c r="E188" s="432"/>
      <c r="F188" s="432"/>
      <c r="G188" s="432"/>
      <c r="H188" s="432"/>
      <c r="I188" s="37">
        <f>I183*I184</f>
        <v>6671.06</v>
      </c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spans="1:257" ht="14.25" customHeight="1" x14ac:dyDescent="0.3">
      <c r="A189" s="375"/>
      <c r="B189" s="375"/>
      <c r="C189" s="375"/>
      <c r="D189" s="375"/>
      <c r="E189" s="375"/>
      <c r="F189" s="375"/>
      <c r="G189" s="375"/>
      <c r="H189" s="375"/>
      <c r="I189" s="375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spans="1:257" ht="18.75" customHeight="1" x14ac:dyDescent="0.3">
      <c r="A190" s="437" t="s">
        <v>188</v>
      </c>
      <c r="B190" s="437"/>
      <c r="C190" s="437"/>
      <c r="D190" s="437"/>
      <c r="E190" s="437"/>
      <c r="F190" s="437"/>
      <c r="G190" s="441">
        <f>I188</f>
        <v>6671.06</v>
      </c>
      <c r="H190" s="441"/>
      <c r="I190" s="441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</row>
    <row r="191" spans="1:257" x14ac:dyDescent="0.3">
      <c r="A191" s="436"/>
      <c r="B191" s="436"/>
      <c r="C191" s="436"/>
      <c r="D191" s="436"/>
      <c r="E191" s="436"/>
      <c r="F191" s="436"/>
      <c r="G191" s="436"/>
      <c r="H191" s="436"/>
      <c r="I191" s="436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spans="1:257" ht="18.75" customHeight="1" x14ac:dyDescent="0.3">
      <c r="A192" s="437" t="s">
        <v>189</v>
      </c>
      <c r="B192" s="437"/>
      <c r="C192" s="437"/>
      <c r="D192" s="437"/>
      <c r="E192" s="437"/>
      <c r="F192" s="437"/>
      <c r="G192" s="438">
        <f>H9</f>
        <v>24</v>
      </c>
      <c r="H192" s="438"/>
      <c r="I192" s="438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</row>
    <row r="193" spans="1:257" ht="18.75" customHeight="1" x14ac:dyDescent="0.3">
      <c r="A193" s="436"/>
      <c r="B193" s="436"/>
      <c r="C193" s="436"/>
      <c r="D193" s="436"/>
      <c r="E193" s="436"/>
      <c r="F193" s="436"/>
      <c r="G193" s="436"/>
      <c r="H193" s="436"/>
      <c r="I193" s="436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</row>
    <row r="194" spans="1:257" ht="31.5" customHeight="1" x14ac:dyDescent="0.3">
      <c r="A194" s="439" t="s">
        <v>190</v>
      </c>
      <c r="B194" s="439"/>
      <c r="C194" s="439"/>
      <c r="D194" s="439"/>
      <c r="E194" s="439"/>
      <c r="F194" s="439"/>
      <c r="G194" s="440">
        <f>G190*G192</f>
        <v>160105.44</v>
      </c>
      <c r="H194" s="440"/>
      <c r="I194" s="440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</row>
    <row r="195" spans="1:257" ht="14.25" customHeight="1" x14ac:dyDescent="0.3">
      <c r="A195" s="375"/>
      <c r="B195" s="375"/>
      <c r="C195" s="375"/>
      <c r="D195" s="375"/>
      <c r="E195" s="375"/>
      <c r="F195" s="375"/>
      <c r="G195" s="375"/>
      <c r="H195" s="375"/>
      <c r="I195" s="375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</row>
  </sheetData>
  <sheetProtection algorithmName="SHA-512" hashValue="dA9E2jg9ehk0VDig5WGW2Qvz4qIuYNT77OMZcyRbeG/xTYh32v84+gxXttq7lIZi7D3+TNhDWXzzBwexRqbzhg==" saltValue="P2oBJEWEsIGtiYOvrSdAbw==" spinCount="100000" sheet="1" objects="1" scenarios="1"/>
  <mergeCells count="257">
    <mergeCell ref="A5:I5"/>
    <mergeCell ref="B6:G6"/>
    <mergeCell ref="H6:I6"/>
    <mergeCell ref="B7:G7"/>
    <mergeCell ref="H7:I7"/>
    <mergeCell ref="B8:G8"/>
    <mergeCell ref="H8:I8"/>
    <mergeCell ref="A1:I1"/>
    <mergeCell ref="A2:E2"/>
    <mergeCell ref="F2:I2"/>
    <mergeCell ref="A3:E3"/>
    <mergeCell ref="F3:I3"/>
    <mergeCell ref="A4:E4"/>
    <mergeCell ref="F4:I4"/>
    <mergeCell ref="A12:E12"/>
    <mergeCell ref="F12:G12"/>
    <mergeCell ref="H12:I12"/>
    <mergeCell ref="A13:I13"/>
    <mergeCell ref="A14:I14"/>
    <mergeCell ref="A15:I15"/>
    <mergeCell ref="B9:G9"/>
    <mergeCell ref="H9:I9"/>
    <mergeCell ref="A10:I10"/>
    <mergeCell ref="A11:E11"/>
    <mergeCell ref="F11:G11"/>
    <mergeCell ref="H11:I11"/>
    <mergeCell ref="J20:P20"/>
    <mergeCell ref="Q20:X20"/>
    <mergeCell ref="Y20:AF20"/>
    <mergeCell ref="AG20:AN20"/>
    <mergeCell ref="AO20:AV20"/>
    <mergeCell ref="AW20:BD20"/>
    <mergeCell ref="A16:I16"/>
    <mergeCell ref="A17:I17"/>
    <mergeCell ref="A18:I18"/>
    <mergeCell ref="B19:G19"/>
    <mergeCell ref="H19:I19"/>
    <mergeCell ref="B20:G20"/>
    <mergeCell ref="H20:I20"/>
    <mergeCell ref="GK20:GR20"/>
    <mergeCell ref="DA20:DH20"/>
    <mergeCell ref="DI20:DP20"/>
    <mergeCell ref="DQ20:DX20"/>
    <mergeCell ref="DY20:EF20"/>
    <mergeCell ref="EG20:EN20"/>
    <mergeCell ref="EO20:EV20"/>
    <mergeCell ref="BE20:BL20"/>
    <mergeCell ref="BM20:BT20"/>
    <mergeCell ref="BU20:CB20"/>
    <mergeCell ref="CC20:CJ20"/>
    <mergeCell ref="CK20:CR20"/>
    <mergeCell ref="CS20:CZ20"/>
    <mergeCell ref="B24:F24"/>
    <mergeCell ref="H24:I24"/>
    <mergeCell ref="B25:G25"/>
    <mergeCell ref="H25:I25"/>
    <mergeCell ref="B26:G26"/>
    <mergeCell ref="H26:I26"/>
    <mergeCell ref="IO20:IV20"/>
    <mergeCell ref="B21:G21"/>
    <mergeCell ref="H21:I21"/>
    <mergeCell ref="B22:G22"/>
    <mergeCell ref="H22:I22"/>
    <mergeCell ref="B23:G23"/>
    <mergeCell ref="H23:I23"/>
    <mergeCell ref="GS20:GZ20"/>
    <mergeCell ref="HA20:HH20"/>
    <mergeCell ref="HI20:HP20"/>
    <mergeCell ref="HQ20:HX20"/>
    <mergeCell ref="HY20:IF20"/>
    <mergeCell ref="IG20:IN20"/>
    <mergeCell ref="EW20:FD20"/>
    <mergeCell ref="FE20:FL20"/>
    <mergeCell ref="FM20:FT20"/>
    <mergeCell ref="FU20:GB20"/>
    <mergeCell ref="GC20:GJ20"/>
    <mergeCell ref="B30:G30"/>
    <mergeCell ref="H30:I30"/>
    <mergeCell ref="B31:G31"/>
    <mergeCell ref="H31:I31"/>
    <mergeCell ref="B32:G32"/>
    <mergeCell ref="H32:I32"/>
    <mergeCell ref="B27:G27"/>
    <mergeCell ref="H27:I27"/>
    <mergeCell ref="B28:G28"/>
    <mergeCell ref="H28:I28"/>
    <mergeCell ref="B29:G29"/>
    <mergeCell ref="H29:I29"/>
    <mergeCell ref="B36:G36"/>
    <mergeCell ref="H36:I36"/>
    <mergeCell ref="B37:G37"/>
    <mergeCell ref="H37:I37"/>
    <mergeCell ref="A38:I38"/>
    <mergeCell ref="A39:I39"/>
    <mergeCell ref="B33:G33"/>
    <mergeCell ref="H33:I33"/>
    <mergeCell ref="B34:G34"/>
    <mergeCell ref="H34:I34"/>
    <mergeCell ref="B35:G35"/>
    <mergeCell ref="H35:I35"/>
    <mergeCell ref="B46:G46"/>
    <mergeCell ref="B47:H47"/>
    <mergeCell ref="A48:H48"/>
    <mergeCell ref="A49:I49"/>
    <mergeCell ref="B50:H50"/>
    <mergeCell ref="A51:H51"/>
    <mergeCell ref="A40:I40"/>
    <mergeCell ref="A41:I41"/>
    <mergeCell ref="B42:G42"/>
    <mergeCell ref="B43:G43"/>
    <mergeCell ref="B44:G44"/>
    <mergeCell ref="B45:G45"/>
    <mergeCell ref="A58:I58"/>
    <mergeCell ref="B59:G59"/>
    <mergeCell ref="B60:G60"/>
    <mergeCell ref="B61:G61"/>
    <mergeCell ref="A62:H62"/>
    <mergeCell ref="A63:I63"/>
    <mergeCell ref="A52:I52"/>
    <mergeCell ref="A53:H53"/>
    <mergeCell ref="A54:I54"/>
    <mergeCell ref="A55:I55"/>
    <mergeCell ref="A56:I56"/>
    <mergeCell ref="A57:I57"/>
    <mergeCell ref="B70:C70"/>
    <mergeCell ref="B71:G71"/>
    <mergeCell ref="B72:G72"/>
    <mergeCell ref="B73:G73"/>
    <mergeCell ref="B74:G74"/>
    <mergeCell ref="B75:G75"/>
    <mergeCell ref="A64:I64"/>
    <mergeCell ref="A65:I65"/>
    <mergeCell ref="A66:I66"/>
    <mergeCell ref="B67:G67"/>
    <mergeCell ref="B68:G68"/>
    <mergeCell ref="B69:G69"/>
    <mergeCell ref="B83:G83"/>
    <mergeCell ref="B84:G84"/>
    <mergeCell ref="B85:G85"/>
    <mergeCell ref="B86:G86"/>
    <mergeCell ref="B87:H87"/>
    <mergeCell ref="B88:G88"/>
    <mergeCell ref="A76:G76"/>
    <mergeCell ref="A78:I78"/>
    <mergeCell ref="A79:I79"/>
    <mergeCell ref="A80:I80"/>
    <mergeCell ref="B81:H81"/>
    <mergeCell ref="B82:H82"/>
    <mergeCell ref="B95:H95"/>
    <mergeCell ref="A96:I96"/>
    <mergeCell ref="A97:I97"/>
    <mergeCell ref="A98:I98"/>
    <mergeCell ref="A99:I99"/>
    <mergeCell ref="B100:H100"/>
    <mergeCell ref="B89:G89"/>
    <mergeCell ref="B91:G91"/>
    <mergeCell ref="B92:G92"/>
    <mergeCell ref="B90:F90"/>
    <mergeCell ref="B93:G93"/>
    <mergeCell ref="B94:G94"/>
    <mergeCell ref="B107:G107"/>
    <mergeCell ref="B108:G108"/>
    <mergeCell ref="B109:G109"/>
    <mergeCell ref="B110:G110"/>
    <mergeCell ref="B111:G111"/>
    <mergeCell ref="B112:G112"/>
    <mergeCell ref="B101:H101"/>
    <mergeCell ref="B102:H102"/>
    <mergeCell ref="B103:H103"/>
    <mergeCell ref="A104:H104"/>
    <mergeCell ref="A105:I105"/>
    <mergeCell ref="A106:I106"/>
    <mergeCell ref="B120:G120"/>
    <mergeCell ref="B121:G121"/>
    <mergeCell ref="B122:G122"/>
    <mergeCell ref="B123:G123"/>
    <mergeCell ref="B124:G124"/>
    <mergeCell ref="B125:G125"/>
    <mergeCell ref="B113:G113"/>
    <mergeCell ref="A114:H114"/>
    <mergeCell ref="A115:I115"/>
    <mergeCell ref="A116:I116"/>
    <mergeCell ref="A117:I117"/>
    <mergeCell ref="A119:I119"/>
    <mergeCell ref="B132:H132"/>
    <mergeCell ref="A133:H133"/>
    <mergeCell ref="A134:I134"/>
    <mergeCell ref="A135:I135"/>
    <mergeCell ref="B136:H136"/>
    <mergeCell ref="B137:H137"/>
    <mergeCell ref="B126:G126"/>
    <mergeCell ref="B127:G127"/>
    <mergeCell ref="A128:H128"/>
    <mergeCell ref="A129:I129"/>
    <mergeCell ref="A130:I130"/>
    <mergeCell ref="B131:H131"/>
    <mergeCell ref="B144:H144"/>
    <mergeCell ref="B145:H145"/>
    <mergeCell ref="B146:H146"/>
    <mergeCell ref="A147:H147"/>
    <mergeCell ref="A148:I148"/>
    <mergeCell ref="A149:I149"/>
    <mergeCell ref="B138:H138"/>
    <mergeCell ref="A139:H139"/>
    <mergeCell ref="A140:I140"/>
    <mergeCell ref="A141:I141"/>
    <mergeCell ref="B142:G142"/>
    <mergeCell ref="B143:G143"/>
    <mergeCell ref="A157:G157"/>
    <mergeCell ref="B158:G158"/>
    <mergeCell ref="B159:G159"/>
    <mergeCell ref="B160:G160"/>
    <mergeCell ref="B161:G161"/>
    <mergeCell ref="B162:G162"/>
    <mergeCell ref="A151:I151"/>
    <mergeCell ref="B152:G152"/>
    <mergeCell ref="A153:G153"/>
    <mergeCell ref="B154:G154"/>
    <mergeCell ref="A155:G155"/>
    <mergeCell ref="B156:G156"/>
    <mergeCell ref="A171:I171"/>
    <mergeCell ref="A172:I172"/>
    <mergeCell ref="A173:I173"/>
    <mergeCell ref="A174:I174"/>
    <mergeCell ref="A175:H175"/>
    <mergeCell ref="B176:H176"/>
    <mergeCell ref="B163:G163"/>
    <mergeCell ref="B164:G164"/>
    <mergeCell ref="A165:H165"/>
    <mergeCell ref="A166:I166"/>
    <mergeCell ref="A167:G167"/>
    <mergeCell ref="A168:B170"/>
    <mergeCell ref="C168:I168"/>
    <mergeCell ref="C169:I169"/>
    <mergeCell ref="C170:I170"/>
    <mergeCell ref="A183:H183"/>
    <mergeCell ref="A184:H184"/>
    <mergeCell ref="A185:H185"/>
    <mergeCell ref="A186:H186"/>
    <mergeCell ref="A187:I187"/>
    <mergeCell ref="A188:H188"/>
    <mergeCell ref="B177:H177"/>
    <mergeCell ref="B178:H178"/>
    <mergeCell ref="B179:H179"/>
    <mergeCell ref="B180:H180"/>
    <mergeCell ref="A181:H181"/>
    <mergeCell ref="B182:H182"/>
    <mergeCell ref="A193:I193"/>
    <mergeCell ref="A194:F194"/>
    <mergeCell ref="G194:I194"/>
    <mergeCell ref="A195:I195"/>
    <mergeCell ref="A189:I189"/>
    <mergeCell ref="A190:F190"/>
    <mergeCell ref="G190:I190"/>
    <mergeCell ref="A191:I191"/>
    <mergeCell ref="A192:F192"/>
    <mergeCell ref="G192:I192"/>
  </mergeCells>
  <pageMargins left="0.51181102362204722" right="0.51181102362204722" top="0.78740157480314965" bottom="0.78740157480314965" header="0.31496062992125984" footer="0.31496062992125984"/>
  <pageSetup paperSize="9" orientation="portrait" r:id="rId1"/>
  <headerFooter>
    <oddHeader>&amp;L&amp;A</oddHeader>
    <oddFooter>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81538-400A-4093-848D-859F5EFC4444}">
  <dimension ref="A1:IW198"/>
  <sheetViews>
    <sheetView showGridLines="0" view="pageBreakPreview" topLeftCell="A125" zoomScaleNormal="130" zoomScaleSheetLayoutView="100" workbookViewId="0">
      <selection activeCell="I136" sqref="I136"/>
    </sheetView>
  </sheetViews>
  <sheetFormatPr defaultColWidth="10.5" defaultRowHeight="14" x14ac:dyDescent="0.3"/>
  <cols>
    <col min="1" max="1" width="8.75" customWidth="1"/>
    <col min="2" max="2" width="9.08203125" customWidth="1"/>
    <col min="3" max="3" width="8" customWidth="1"/>
    <col min="4" max="4" width="13.08203125" customWidth="1"/>
    <col min="5" max="6" width="8" customWidth="1"/>
    <col min="7" max="8" width="12.08203125" customWidth="1"/>
    <col min="9" max="9" width="12.4140625" customWidth="1"/>
    <col min="10" max="10" width="12.75" customWidth="1"/>
    <col min="11" max="257" width="8" customWidth="1"/>
  </cols>
  <sheetData>
    <row r="1" spans="1:257" ht="70.5" customHeight="1" x14ac:dyDescent="0.3">
      <c r="A1" s="364" t="s">
        <v>191</v>
      </c>
      <c r="B1" s="364"/>
      <c r="C1" s="364"/>
      <c r="D1" s="364"/>
      <c r="E1" s="364"/>
      <c r="F1" s="364"/>
      <c r="G1" s="364"/>
      <c r="H1" s="364"/>
      <c r="I1" s="36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spans="1:257" ht="14.25" customHeight="1" x14ac:dyDescent="0.3">
      <c r="A2" s="359" t="s">
        <v>31</v>
      </c>
      <c r="B2" s="359"/>
      <c r="C2" s="359"/>
      <c r="D2" s="359"/>
      <c r="E2" s="359"/>
      <c r="F2" s="362" t="str">
        <f>'Inserir dados na planilha'!E4</f>
        <v>13075.141464/2025-18</v>
      </c>
      <c r="G2" s="363"/>
      <c r="H2" s="363"/>
      <c r="I2" s="36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</row>
    <row r="3" spans="1:257" ht="17.25" customHeight="1" x14ac:dyDescent="0.3">
      <c r="A3" s="359" t="s">
        <v>32</v>
      </c>
      <c r="B3" s="359"/>
      <c r="C3" s="359"/>
      <c r="D3" s="359"/>
      <c r="E3" s="359"/>
      <c r="F3" s="362" t="str">
        <f>'Inserir dados na planilha'!E5</f>
        <v>170040/90001/2026</v>
      </c>
      <c r="G3" s="363"/>
      <c r="H3" s="363"/>
      <c r="I3" s="36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</row>
    <row r="4" spans="1:257" ht="16.5" customHeight="1" x14ac:dyDescent="0.3">
      <c r="A4" s="365" t="s">
        <v>456</v>
      </c>
      <c r="B4" s="366"/>
      <c r="C4" s="366"/>
      <c r="D4" s="366"/>
      <c r="E4" s="367"/>
      <c r="F4" s="368" t="str">
        <f>'Inserir dados na planilha'!E6</f>
        <v>*****</v>
      </c>
      <c r="G4" s="369"/>
      <c r="H4" s="369"/>
      <c r="I4" s="370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</row>
    <row r="5" spans="1:257" ht="18.75" customHeight="1" x14ac:dyDescent="0.3">
      <c r="A5" s="358" t="s">
        <v>33</v>
      </c>
      <c r="B5" s="358"/>
      <c r="C5" s="358"/>
      <c r="D5" s="358"/>
      <c r="E5" s="358"/>
      <c r="F5" s="358"/>
      <c r="G5" s="358"/>
      <c r="H5" s="358"/>
      <c r="I5" s="35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spans="1:257" ht="14.25" customHeight="1" x14ac:dyDescent="0.3">
      <c r="A6" s="217" t="s">
        <v>34</v>
      </c>
      <c r="B6" s="359" t="s">
        <v>35</v>
      </c>
      <c r="C6" s="359"/>
      <c r="D6" s="359"/>
      <c r="E6" s="359"/>
      <c r="F6" s="359"/>
      <c r="G6" s="359"/>
      <c r="H6" s="360" t="str">
        <f>'Inserir dados na planilha'!E11</f>
        <v>****</v>
      </c>
      <c r="I6" s="360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spans="1:257" ht="14.25" customHeight="1" x14ac:dyDescent="0.3">
      <c r="A7" s="3" t="s">
        <v>36</v>
      </c>
      <c r="B7" s="359" t="s">
        <v>37</v>
      </c>
      <c r="C7" s="359"/>
      <c r="D7" s="359"/>
      <c r="E7" s="359"/>
      <c r="F7" s="359"/>
      <c r="G7" s="359"/>
      <c r="H7" s="361" t="s">
        <v>375</v>
      </c>
      <c r="I7" s="36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</row>
    <row r="8" spans="1:257" ht="39" customHeight="1" x14ac:dyDescent="0.3">
      <c r="A8" s="217" t="s">
        <v>38</v>
      </c>
      <c r="B8" s="365" t="s">
        <v>39</v>
      </c>
      <c r="C8" s="366"/>
      <c r="D8" s="366"/>
      <c r="E8" s="366"/>
      <c r="F8" s="366"/>
      <c r="G8" s="367"/>
      <c r="H8" s="476" t="str">
        <f>'Inserir dados na planilha'!E9</f>
        <v>PI000015/2025</v>
      </c>
      <c r="I8" s="47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</row>
    <row r="9" spans="1:257" ht="14.25" customHeight="1" x14ac:dyDescent="0.3">
      <c r="A9" s="217" t="s">
        <v>40</v>
      </c>
      <c r="B9" s="365" t="s">
        <v>41</v>
      </c>
      <c r="C9" s="366"/>
      <c r="D9" s="366"/>
      <c r="E9" s="366"/>
      <c r="F9" s="366"/>
      <c r="G9" s="367"/>
      <c r="H9" s="468">
        <f>'Inserir dados na planilha'!E15</f>
        <v>24</v>
      </c>
      <c r="I9" s="46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</row>
    <row r="10" spans="1:257" ht="14.25" customHeight="1" x14ac:dyDescent="0.3">
      <c r="A10" s="470" t="s">
        <v>42</v>
      </c>
      <c r="B10" s="471"/>
      <c r="C10" s="471"/>
      <c r="D10" s="471"/>
      <c r="E10" s="471"/>
      <c r="F10" s="471"/>
      <c r="G10" s="471"/>
      <c r="H10" s="471"/>
      <c r="I10" s="47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</row>
    <row r="11" spans="1:257" ht="39" customHeight="1" x14ac:dyDescent="0.3">
      <c r="A11" s="473" t="s">
        <v>43</v>
      </c>
      <c r="B11" s="474"/>
      <c r="C11" s="474"/>
      <c r="D11" s="474"/>
      <c r="E11" s="475"/>
      <c r="F11" s="473" t="s">
        <v>44</v>
      </c>
      <c r="G11" s="475"/>
      <c r="H11" s="473" t="s">
        <v>45</v>
      </c>
      <c r="I11" s="475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</row>
    <row r="12" spans="1:257" ht="14.25" customHeight="1" x14ac:dyDescent="0.3">
      <c r="A12" s="461" t="str">
        <f>'Inserir dados na planilha'!E13</f>
        <v>Vigilância e segurança armada</v>
      </c>
      <c r="B12" s="462"/>
      <c r="C12" s="462"/>
      <c r="D12" s="462"/>
      <c r="E12" s="463"/>
      <c r="F12" s="464" t="str">
        <f>'Inserir dados na planilha'!E16</f>
        <v>Posto de Serviço</v>
      </c>
      <c r="G12" s="465"/>
      <c r="H12" s="466">
        <v>1</v>
      </c>
      <c r="I12" s="46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</row>
    <row r="13" spans="1:257" ht="14.25" customHeight="1" x14ac:dyDescent="0.3">
      <c r="A13" s="375"/>
      <c r="B13" s="375"/>
      <c r="C13" s="375"/>
      <c r="D13" s="375"/>
      <c r="E13" s="375"/>
      <c r="F13" s="375"/>
      <c r="G13" s="375"/>
      <c r="H13" s="375"/>
      <c r="I13" s="375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</row>
    <row r="14" spans="1:257" x14ac:dyDescent="0.3">
      <c r="A14" s="376"/>
      <c r="B14" s="376"/>
      <c r="C14" s="376"/>
      <c r="D14" s="376"/>
      <c r="E14" s="376"/>
      <c r="F14" s="376"/>
      <c r="G14" s="376"/>
      <c r="H14" s="376"/>
      <c r="I14" s="37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 x14ac:dyDescent="0.3">
      <c r="A15" s="375"/>
      <c r="B15" s="375"/>
      <c r="C15" s="375"/>
      <c r="D15" s="375"/>
      <c r="E15" s="375"/>
      <c r="F15" s="375"/>
      <c r="G15" s="375"/>
      <c r="H15" s="375"/>
      <c r="I15" s="375"/>
      <c r="J15" s="5"/>
      <c r="K15" s="6"/>
      <c r="L15" s="7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6" spans="1:257" ht="48.75" customHeight="1" x14ac:dyDescent="0.3">
      <c r="A16" s="380" t="s">
        <v>46</v>
      </c>
      <c r="B16" s="380"/>
      <c r="C16" s="380"/>
      <c r="D16" s="380"/>
      <c r="E16" s="380"/>
      <c r="F16" s="380"/>
      <c r="G16" s="380"/>
      <c r="H16" s="380"/>
      <c r="I16" s="380"/>
      <c r="J16" s="5"/>
      <c r="K16" s="6"/>
      <c r="L16" s="7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spans="1:257" ht="14.25" customHeight="1" x14ac:dyDescent="0.3">
      <c r="A17" s="375"/>
      <c r="B17" s="375"/>
      <c r="C17" s="375"/>
      <c r="D17" s="375"/>
      <c r="E17" s="375"/>
      <c r="F17" s="375"/>
      <c r="G17" s="375"/>
      <c r="H17" s="375"/>
      <c r="I17" s="375"/>
      <c r="J17" s="5"/>
      <c r="K17" s="6"/>
      <c r="L17" s="7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1:257" ht="14.25" customHeight="1" x14ac:dyDescent="0.3">
      <c r="A18" s="358" t="s">
        <v>47</v>
      </c>
      <c r="B18" s="358"/>
      <c r="C18" s="358"/>
      <c r="D18" s="358"/>
      <c r="E18" s="358"/>
      <c r="F18" s="358"/>
      <c r="G18" s="358"/>
      <c r="H18" s="358"/>
      <c r="I18" s="358"/>
      <c r="J18" s="5"/>
      <c r="K18" s="6"/>
      <c r="L18" s="7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spans="1:257" ht="24" customHeight="1" x14ac:dyDescent="0.3">
      <c r="A19" s="3">
        <v>1</v>
      </c>
      <c r="B19" s="359" t="s">
        <v>48</v>
      </c>
      <c r="C19" s="359"/>
      <c r="D19" s="359"/>
      <c r="E19" s="359"/>
      <c r="F19" s="359"/>
      <c r="G19" s="359"/>
      <c r="H19" s="457" t="str">
        <f>A12</f>
        <v>Vigilância e segurança armada</v>
      </c>
      <c r="I19" s="458"/>
      <c r="J19" s="5"/>
      <c r="K19" s="6"/>
      <c r="L19" s="7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spans="1:257" ht="18.75" customHeight="1" x14ac:dyDescent="0.3">
      <c r="A20" s="3">
        <v>2</v>
      </c>
      <c r="B20" s="359" t="s">
        <v>49</v>
      </c>
      <c r="C20" s="359"/>
      <c r="D20" s="359"/>
      <c r="E20" s="359"/>
      <c r="F20" s="359"/>
      <c r="G20" s="359"/>
      <c r="H20" s="459" t="str">
        <f>'Inserir dados na planilha'!G12</f>
        <v>5173-30</v>
      </c>
      <c r="I20" s="460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379"/>
      <c r="AU20" s="379"/>
      <c r="AV20" s="379"/>
      <c r="AW20" s="379"/>
      <c r="AX20" s="379"/>
      <c r="AY20" s="379"/>
      <c r="AZ20" s="379"/>
      <c r="BA20" s="379"/>
      <c r="BB20" s="379"/>
      <c r="BC20" s="379"/>
      <c r="BD20" s="379"/>
      <c r="BE20" s="379"/>
      <c r="BF20" s="379"/>
      <c r="BG20" s="379"/>
      <c r="BH20" s="379"/>
      <c r="BI20" s="379"/>
      <c r="BJ20" s="379"/>
      <c r="BK20" s="379"/>
      <c r="BL20" s="379"/>
      <c r="BM20" s="379"/>
      <c r="BN20" s="379"/>
      <c r="BO20" s="379"/>
      <c r="BP20" s="379"/>
      <c r="BQ20" s="379"/>
      <c r="BR20" s="379"/>
      <c r="BS20" s="379"/>
      <c r="BT20" s="379"/>
      <c r="BU20" s="379"/>
      <c r="BV20" s="379"/>
      <c r="BW20" s="379"/>
      <c r="BX20" s="379"/>
      <c r="BY20" s="379"/>
      <c r="BZ20" s="379"/>
      <c r="CA20" s="379"/>
      <c r="CB20" s="379"/>
      <c r="CC20" s="379"/>
      <c r="CD20" s="379"/>
      <c r="CE20" s="379"/>
      <c r="CF20" s="379"/>
      <c r="CG20" s="379"/>
      <c r="CH20" s="379"/>
      <c r="CI20" s="379"/>
      <c r="CJ20" s="379"/>
      <c r="CK20" s="379"/>
      <c r="CL20" s="379"/>
      <c r="CM20" s="379"/>
      <c r="CN20" s="379"/>
      <c r="CO20" s="379"/>
      <c r="CP20" s="379"/>
      <c r="CQ20" s="379"/>
      <c r="CR20" s="379"/>
      <c r="CS20" s="379"/>
      <c r="CT20" s="379"/>
      <c r="CU20" s="379"/>
      <c r="CV20" s="379"/>
      <c r="CW20" s="379"/>
      <c r="CX20" s="379"/>
      <c r="CY20" s="379"/>
      <c r="CZ20" s="379"/>
      <c r="DA20" s="379"/>
      <c r="DB20" s="379"/>
      <c r="DC20" s="379"/>
      <c r="DD20" s="379"/>
      <c r="DE20" s="379"/>
      <c r="DF20" s="379"/>
      <c r="DG20" s="379"/>
      <c r="DH20" s="379"/>
      <c r="DI20" s="379"/>
      <c r="DJ20" s="379"/>
      <c r="DK20" s="379"/>
      <c r="DL20" s="379"/>
      <c r="DM20" s="379"/>
      <c r="DN20" s="379"/>
      <c r="DO20" s="379"/>
      <c r="DP20" s="379"/>
      <c r="DQ20" s="379"/>
      <c r="DR20" s="379"/>
      <c r="DS20" s="379"/>
      <c r="DT20" s="379"/>
      <c r="DU20" s="379"/>
      <c r="DV20" s="379"/>
      <c r="DW20" s="379"/>
      <c r="DX20" s="379"/>
      <c r="DY20" s="379"/>
      <c r="DZ20" s="379"/>
      <c r="EA20" s="379"/>
      <c r="EB20" s="379"/>
      <c r="EC20" s="379"/>
      <c r="ED20" s="379"/>
      <c r="EE20" s="379"/>
      <c r="EF20" s="379"/>
      <c r="EG20" s="379"/>
      <c r="EH20" s="379"/>
      <c r="EI20" s="379"/>
      <c r="EJ20" s="379"/>
      <c r="EK20" s="379"/>
      <c r="EL20" s="379"/>
      <c r="EM20" s="379"/>
      <c r="EN20" s="379"/>
      <c r="EO20" s="379"/>
      <c r="EP20" s="379"/>
      <c r="EQ20" s="379"/>
      <c r="ER20" s="379"/>
      <c r="ES20" s="379"/>
      <c r="ET20" s="379"/>
      <c r="EU20" s="379"/>
      <c r="EV20" s="379"/>
      <c r="EW20" s="379"/>
      <c r="EX20" s="379"/>
      <c r="EY20" s="379"/>
      <c r="EZ20" s="379"/>
      <c r="FA20" s="379"/>
      <c r="FB20" s="379"/>
      <c r="FC20" s="379"/>
      <c r="FD20" s="379"/>
      <c r="FE20" s="379"/>
      <c r="FF20" s="379"/>
      <c r="FG20" s="379"/>
      <c r="FH20" s="379"/>
      <c r="FI20" s="379"/>
      <c r="FJ20" s="379"/>
      <c r="FK20" s="379"/>
      <c r="FL20" s="379"/>
      <c r="FM20" s="379"/>
      <c r="FN20" s="379"/>
      <c r="FO20" s="379"/>
      <c r="FP20" s="379"/>
      <c r="FQ20" s="379"/>
      <c r="FR20" s="379"/>
      <c r="FS20" s="379"/>
      <c r="FT20" s="379"/>
      <c r="FU20" s="379"/>
      <c r="FV20" s="379"/>
      <c r="FW20" s="379"/>
      <c r="FX20" s="379"/>
      <c r="FY20" s="379"/>
      <c r="FZ20" s="379"/>
      <c r="GA20" s="379"/>
      <c r="GB20" s="379"/>
      <c r="GC20" s="379"/>
      <c r="GD20" s="379"/>
      <c r="GE20" s="379"/>
      <c r="GF20" s="379"/>
      <c r="GG20" s="379"/>
      <c r="GH20" s="379"/>
      <c r="GI20" s="379"/>
      <c r="GJ20" s="379"/>
      <c r="GK20" s="379"/>
      <c r="GL20" s="379"/>
      <c r="GM20" s="379"/>
      <c r="GN20" s="379"/>
      <c r="GO20" s="379"/>
      <c r="GP20" s="379"/>
      <c r="GQ20" s="379"/>
      <c r="GR20" s="379"/>
      <c r="GS20" s="379"/>
      <c r="GT20" s="379"/>
      <c r="GU20" s="379"/>
      <c r="GV20" s="379"/>
      <c r="GW20" s="379"/>
      <c r="GX20" s="379"/>
      <c r="GY20" s="379"/>
      <c r="GZ20" s="379"/>
      <c r="HA20" s="379"/>
      <c r="HB20" s="379"/>
      <c r="HC20" s="379"/>
      <c r="HD20" s="379"/>
      <c r="HE20" s="379"/>
      <c r="HF20" s="379"/>
      <c r="HG20" s="379"/>
      <c r="HH20" s="379"/>
      <c r="HI20" s="379"/>
      <c r="HJ20" s="379"/>
      <c r="HK20" s="379"/>
      <c r="HL20" s="379"/>
      <c r="HM20" s="379"/>
      <c r="HN20" s="379"/>
      <c r="HO20" s="379"/>
      <c r="HP20" s="379"/>
      <c r="HQ20" s="379"/>
      <c r="HR20" s="379"/>
      <c r="HS20" s="379"/>
      <c r="HT20" s="379"/>
      <c r="HU20" s="379"/>
      <c r="HV20" s="379"/>
      <c r="HW20" s="379"/>
      <c r="HX20" s="379"/>
      <c r="HY20" s="379"/>
      <c r="HZ20" s="379"/>
      <c r="IA20" s="379"/>
      <c r="IB20" s="379"/>
      <c r="IC20" s="379"/>
      <c r="ID20" s="379"/>
      <c r="IE20" s="379"/>
      <c r="IF20" s="379"/>
      <c r="IG20" s="379"/>
      <c r="IH20" s="379"/>
      <c r="II20" s="379"/>
      <c r="IJ20" s="379"/>
      <c r="IK20" s="379"/>
      <c r="IL20" s="379"/>
      <c r="IM20" s="379"/>
      <c r="IN20" s="379"/>
      <c r="IO20" s="379"/>
      <c r="IP20" s="379"/>
      <c r="IQ20" s="379"/>
      <c r="IR20" s="379"/>
      <c r="IS20" s="379"/>
      <c r="IT20" s="379"/>
      <c r="IU20" s="379"/>
      <c r="IV20" s="379"/>
      <c r="IW20" s="8"/>
    </row>
    <row r="21" spans="1:257" ht="24" customHeight="1" x14ac:dyDescent="0.3">
      <c r="A21" s="3">
        <v>3</v>
      </c>
      <c r="B21" s="359" t="s">
        <v>50</v>
      </c>
      <c r="C21" s="359"/>
      <c r="D21" s="359"/>
      <c r="E21" s="359"/>
      <c r="F21" s="359"/>
      <c r="G21" s="359"/>
      <c r="H21" s="451">
        <f>'Inserir dados na planilha'!I20</f>
        <v>1757.2</v>
      </c>
      <c r="I21" s="45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</row>
    <row r="22" spans="1:257" ht="25.5" customHeight="1" x14ac:dyDescent="0.3">
      <c r="A22" s="3">
        <v>4</v>
      </c>
      <c r="B22" s="359" t="s">
        <v>51</v>
      </c>
      <c r="C22" s="359"/>
      <c r="D22" s="359"/>
      <c r="E22" s="359"/>
      <c r="F22" s="359"/>
      <c r="G22" s="359"/>
      <c r="H22" s="453" t="str">
        <f>'Inserir dados na planilha'!D12</f>
        <v>Vigilante</v>
      </c>
      <c r="I22" s="454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</row>
    <row r="23" spans="1:257" ht="18" customHeight="1" x14ac:dyDescent="0.3">
      <c r="A23" s="3">
        <v>5</v>
      </c>
      <c r="B23" s="359" t="s">
        <v>52</v>
      </c>
      <c r="C23" s="359"/>
      <c r="D23" s="359"/>
      <c r="E23" s="359"/>
      <c r="F23" s="359"/>
      <c r="G23" s="359"/>
      <c r="H23" s="455">
        <f>'Inserir dados na planilha'!E14</f>
        <v>45658</v>
      </c>
      <c r="I23" s="456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spans="1:257" ht="18" customHeight="1" x14ac:dyDescent="0.3">
      <c r="A24" s="3">
        <v>6</v>
      </c>
      <c r="B24" s="359" t="s">
        <v>394</v>
      </c>
      <c r="C24" s="359"/>
      <c r="D24" s="359"/>
      <c r="E24" s="359"/>
      <c r="F24" s="359"/>
      <c r="G24" s="9">
        <f>'Inserir dados na planilha'!H22</f>
        <v>0.3</v>
      </c>
      <c r="H24" s="449">
        <f>ROUNDUP(G24*H21,2)</f>
        <v>527.16</v>
      </c>
      <c r="I24" s="450"/>
      <c r="J24" s="18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spans="1:257" ht="18" customHeight="1" x14ac:dyDescent="0.3">
      <c r="A25" s="3">
        <v>7</v>
      </c>
      <c r="B25" s="359" t="s">
        <v>53</v>
      </c>
      <c r="C25" s="359"/>
      <c r="D25" s="359"/>
      <c r="E25" s="359"/>
      <c r="F25" s="359"/>
      <c r="G25" s="359"/>
      <c r="H25" s="384">
        <f>ROUNDUP(H24+H21,2)</f>
        <v>2284.36</v>
      </c>
      <c r="I25" s="384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spans="1:257" ht="18" customHeight="1" x14ac:dyDescent="0.3">
      <c r="A26" s="3">
        <v>8</v>
      </c>
      <c r="B26" s="359" t="s">
        <v>54</v>
      </c>
      <c r="C26" s="359"/>
      <c r="D26" s="359"/>
      <c r="E26" s="359"/>
      <c r="F26" s="359"/>
      <c r="G26" s="359"/>
      <c r="H26" s="383">
        <f>ROUNDUP(H25/220,2)</f>
        <v>10.39</v>
      </c>
      <c r="I26" s="383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spans="1:257" ht="20.9" customHeight="1" x14ac:dyDescent="0.3">
      <c r="A27" s="3">
        <v>9</v>
      </c>
      <c r="B27" s="359" t="s">
        <v>385</v>
      </c>
      <c r="C27" s="359"/>
      <c r="D27" s="359"/>
      <c r="E27" s="359"/>
      <c r="F27" s="359"/>
      <c r="G27" s="359"/>
      <c r="H27" s="384"/>
      <c r="I27" s="38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spans="1:257" ht="18" customHeight="1" x14ac:dyDescent="0.3">
      <c r="A28" s="3">
        <v>10</v>
      </c>
      <c r="B28" s="359" t="s">
        <v>55</v>
      </c>
      <c r="C28" s="359"/>
      <c r="D28" s="359"/>
      <c r="E28" s="359"/>
      <c r="F28" s="359"/>
      <c r="G28" s="359"/>
      <c r="H28" s="384"/>
      <c r="I28" s="384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spans="1:257" ht="18" customHeight="1" x14ac:dyDescent="0.3">
      <c r="A29" s="3">
        <v>11</v>
      </c>
      <c r="B29" s="359" t="s">
        <v>56</v>
      </c>
      <c r="C29" s="359"/>
      <c r="D29" s="359"/>
      <c r="E29" s="359"/>
      <c r="F29" s="359"/>
      <c r="G29" s="359"/>
      <c r="H29" s="384"/>
      <c r="I29" s="38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spans="1:257" ht="18" customHeight="1" x14ac:dyDescent="0.3">
      <c r="A30" s="3">
        <v>12</v>
      </c>
      <c r="B30" s="359" t="s">
        <v>57</v>
      </c>
      <c r="C30" s="359"/>
      <c r="D30" s="359"/>
      <c r="E30" s="359"/>
      <c r="F30" s="359"/>
      <c r="G30" s="359"/>
      <c r="H30" s="384"/>
      <c r="I30" s="384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spans="1:257" ht="18" customHeight="1" x14ac:dyDescent="0.3">
      <c r="A31" s="3">
        <v>13</v>
      </c>
      <c r="B31" s="359" t="s">
        <v>58</v>
      </c>
      <c r="C31" s="359"/>
      <c r="D31" s="359"/>
      <c r="E31" s="359"/>
      <c r="F31" s="359"/>
      <c r="G31" s="359"/>
      <c r="H31" s="384"/>
      <c r="I31" s="384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spans="1:257" ht="18" customHeight="1" x14ac:dyDescent="0.3">
      <c r="A32" s="3">
        <v>14</v>
      </c>
      <c r="B32" s="359" t="s">
        <v>454</v>
      </c>
      <c r="C32" s="359"/>
      <c r="D32" s="359"/>
      <c r="E32" s="359"/>
      <c r="F32" s="359"/>
      <c r="G32" s="359"/>
      <c r="H32" s="384"/>
      <c r="I32" s="384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spans="1:257" ht="18" customHeight="1" x14ac:dyDescent="0.3">
      <c r="A33" s="3">
        <v>15</v>
      </c>
      <c r="B33" s="359" t="s">
        <v>59</v>
      </c>
      <c r="C33" s="359"/>
      <c r="D33" s="359"/>
      <c r="E33" s="359"/>
      <c r="F33" s="359"/>
      <c r="G33" s="359"/>
      <c r="H33" s="384"/>
      <c r="I33" s="384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spans="1:257" ht="18" customHeight="1" x14ac:dyDescent="0.3">
      <c r="A34" s="3">
        <v>16</v>
      </c>
      <c r="B34" s="359" t="s">
        <v>60</v>
      </c>
      <c r="C34" s="359"/>
      <c r="D34" s="359"/>
      <c r="E34" s="359"/>
      <c r="F34" s="359"/>
      <c r="G34" s="359"/>
      <c r="H34" s="384"/>
      <c r="I34" s="384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spans="1:257" ht="18" customHeight="1" x14ac:dyDescent="0.3">
      <c r="A35" s="3">
        <v>17</v>
      </c>
      <c r="B35" s="359" t="s">
        <v>61</v>
      </c>
      <c r="C35" s="359"/>
      <c r="D35" s="359"/>
      <c r="E35" s="359"/>
      <c r="F35" s="359"/>
      <c r="G35" s="359"/>
      <c r="H35" s="384"/>
      <c r="I35" s="38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spans="1:257" ht="18" customHeight="1" x14ac:dyDescent="0.3">
      <c r="A36" s="3">
        <v>19</v>
      </c>
      <c r="B36" s="448" t="s">
        <v>397</v>
      </c>
      <c r="C36" s="448"/>
      <c r="D36" s="448"/>
      <c r="E36" s="448"/>
      <c r="F36" s="448"/>
      <c r="G36" s="448"/>
      <c r="H36" s="383">
        <f>ROUNDUP(H26*1.6*15,2)</f>
        <v>249.36</v>
      </c>
      <c r="I36" s="383"/>
      <c r="J36" s="10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spans="1:257" ht="18" customHeight="1" x14ac:dyDescent="0.3">
      <c r="A37" s="3">
        <v>20</v>
      </c>
      <c r="B37" s="359" t="s">
        <v>63</v>
      </c>
      <c r="C37" s="359"/>
      <c r="D37" s="359"/>
      <c r="E37" s="359"/>
      <c r="F37" s="359"/>
      <c r="G37" s="359"/>
      <c r="H37" s="388">
        <v>2</v>
      </c>
      <c r="I37" s="38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spans="1:257" x14ac:dyDescent="0.3">
      <c r="A38" s="375"/>
      <c r="B38" s="375"/>
      <c r="C38" s="375"/>
      <c r="D38" s="375"/>
      <c r="E38" s="375"/>
      <c r="F38" s="375"/>
      <c r="G38" s="375"/>
      <c r="H38" s="375"/>
      <c r="I38" s="375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spans="1:257" x14ac:dyDescent="0.3">
      <c r="A39" s="389"/>
      <c r="B39" s="389"/>
      <c r="C39" s="389"/>
      <c r="D39" s="389"/>
      <c r="E39" s="389"/>
      <c r="F39" s="389"/>
      <c r="G39" s="389"/>
      <c r="H39" s="389"/>
      <c r="I39" s="38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spans="1:257" ht="14.25" customHeight="1" x14ac:dyDescent="0.3">
      <c r="A40" s="375"/>
      <c r="B40" s="375"/>
      <c r="C40" s="375"/>
      <c r="D40" s="375"/>
      <c r="E40" s="375"/>
      <c r="F40" s="375"/>
      <c r="G40" s="375"/>
      <c r="H40" s="375"/>
      <c r="I40" s="375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spans="1:257" ht="17.25" customHeight="1" x14ac:dyDescent="0.3">
      <c r="A41" s="391" t="s">
        <v>64</v>
      </c>
      <c r="B41" s="391"/>
      <c r="C41" s="391"/>
      <c r="D41" s="391"/>
      <c r="E41" s="391"/>
      <c r="F41" s="391"/>
      <c r="G41" s="391"/>
      <c r="H41" s="391"/>
      <c r="I41" s="39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spans="1:257" ht="38.25" customHeight="1" x14ac:dyDescent="0.3">
      <c r="A42" s="12">
        <v>1</v>
      </c>
      <c r="B42" s="378" t="s">
        <v>65</v>
      </c>
      <c r="C42" s="378"/>
      <c r="D42" s="378"/>
      <c r="E42" s="378"/>
      <c r="F42" s="378"/>
      <c r="G42" s="378"/>
      <c r="H42" s="13" t="s">
        <v>66</v>
      </c>
      <c r="I42" s="12" t="s">
        <v>67</v>
      </c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</row>
    <row r="43" spans="1:257" x14ac:dyDescent="0.3">
      <c r="A43" s="3" t="s">
        <v>34</v>
      </c>
      <c r="B43" s="359" t="s">
        <v>192</v>
      </c>
      <c r="C43" s="359"/>
      <c r="D43" s="359"/>
      <c r="E43" s="359"/>
      <c r="F43" s="359"/>
      <c r="G43" s="359"/>
      <c r="H43" s="206">
        <v>1</v>
      </c>
      <c r="I43" s="15">
        <f>ROUNDUP(H21*H37,2)</f>
        <v>3514.4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spans="1:257" x14ac:dyDescent="0.3">
      <c r="A44" s="3" t="s">
        <v>36</v>
      </c>
      <c r="B44" s="359" t="s">
        <v>193</v>
      </c>
      <c r="C44" s="359"/>
      <c r="D44" s="359"/>
      <c r="E44" s="359"/>
      <c r="F44" s="359"/>
      <c r="G44" s="359"/>
      <c r="H44" s="206">
        <v>0.3</v>
      </c>
      <c r="I44" s="15">
        <f>ROUNDUP(H24*H37,2)</f>
        <v>1054.32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</row>
    <row r="45" spans="1:257" x14ac:dyDescent="0.3">
      <c r="A45" s="3" t="s">
        <v>38</v>
      </c>
      <c r="B45" s="359" t="s">
        <v>194</v>
      </c>
      <c r="C45" s="359"/>
      <c r="D45" s="359"/>
      <c r="E45" s="359"/>
      <c r="F45" s="359"/>
      <c r="G45" s="359"/>
      <c r="H45" s="206">
        <v>0</v>
      </c>
      <c r="I45" s="16">
        <v>0</v>
      </c>
      <c r="J45" s="1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</row>
    <row r="46" spans="1:257" x14ac:dyDescent="0.3">
      <c r="A46" s="3" t="s">
        <v>40</v>
      </c>
      <c r="B46" s="359" t="s">
        <v>195</v>
      </c>
      <c r="C46" s="359"/>
      <c r="D46" s="359"/>
      <c r="E46" s="359"/>
      <c r="F46" s="359"/>
      <c r="G46" s="359"/>
      <c r="H46" s="206">
        <v>0</v>
      </c>
      <c r="I46" s="16">
        <v>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</row>
    <row r="47" spans="1:257" ht="14.25" customHeight="1" x14ac:dyDescent="0.3">
      <c r="A47" s="3" t="s">
        <v>73</v>
      </c>
      <c r="B47" s="359" t="s">
        <v>74</v>
      </c>
      <c r="C47" s="359"/>
      <c r="D47" s="359"/>
      <c r="E47" s="359"/>
      <c r="F47" s="359"/>
      <c r="G47" s="359"/>
      <c r="H47" s="359"/>
      <c r="I47" s="15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</row>
    <row r="48" spans="1:257" ht="15.75" customHeight="1" x14ac:dyDescent="0.3">
      <c r="A48" s="390" t="s">
        <v>75</v>
      </c>
      <c r="B48" s="390"/>
      <c r="C48" s="390"/>
      <c r="D48" s="390"/>
      <c r="E48" s="390"/>
      <c r="F48" s="390"/>
      <c r="G48" s="390"/>
      <c r="H48" s="390"/>
      <c r="I48" s="17">
        <f>TRUNC(SUM(I43:I47),2)</f>
        <v>4568.72</v>
      </c>
      <c r="J48" s="40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</row>
    <row r="49" spans="1:257" ht="15.75" customHeight="1" x14ac:dyDescent="0.3">
      <c r="A49" s="375"/>
      <c r="B49" s="375"/>
      <c r="C49" s="375"/>
      <c r="D49" s="375"/>
      <c r="E49" s="375"/>
      <c r="F49" s="375"/>
      <c r="G49" s="375"/>
      <c r="H49" s="375"/>
      <c r="I49" s="375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</row>
    <row r="50" spans="1:257" x14ac:dyDescent="0.3">
      <c r="A50" s="3" t="s">
        <v>76</v>
      </c>
      <c r="B50" s="359" t="s">
        <v>196</v>
      </c>
      <c r="C50" s="359"/>
      <c r="D50" s="359"/>
      <c r="E50" s="359"/>
      <c r="F50" s="359"/>
      <c r="G50" s="359"/>
      <c r="H50" s="359"/>
      <c r="I50" s="15">
        <v>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</row>
    <row r="51" spans="1:257" ht="42" customHeight="1" x14ac:dyDescent="0.3">
      <c r="A51" s="358" t="s">
        <v>78</v>
      </c>
      <c r="B51" s="358"/>
      <c r="C51" s="358"/>
      <c r="D51" s="358"/>
      <c r="E51" s="358"/>
      <c r="F51" s="358"/>
      <c r="G51" s="358"/>
      <c r="H51" s="358"/>
      <c r="I51" s="17">
        <f>I50</f>
        <v>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</row>
    <row r="52" spans="1:257" x14ac:dyDescent="0.3">
      <c r="A52" s="375"/>
      <c r="B52" s="375"/>
      <c r="C52" s="375"/>
      <c r="D52" s="375"/>
      <c r="E52" s="375"/>
      <c r="F52" s="375"/>
      <c r="G52" s="375"/>
      <c r="H52" s="375"/>
      <c r="I52" s="375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</row>
    <row r="53" spans="1:257" ht="13.5" customHeight="1" x14ac:dyDescent="0.3">
      <c r="A53" s="390" t="s">
        <v>79</v>
      </c>
      <c r="B53" s="390"/>
      <c r="C53" s="390"/>
      <c r="D53" s="390"/>
      <c r="E53" s="390"/>
      <c r="F53" s="390"/>
      <c r="G53" s="390"/>
      <c r="H53" s="390"/>
      <c r="I53" s="17">
        <f>I48+I51</f>
        <v>4568.72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</row>
    <row r="54" spans="1:257" ht="13.5" customHeight="1" x14ac:dyDescent="0.3">
      <c r="A54" s="375"/>
      <c r="B54" s="375"/>
      <c r="C54" s="375"/>
      <c r="D54" s="375"/>
      <c r="E54" s="375"/>
      <c r="F54" s="375"/>
      <c r="G54" s="375"/>
      <c r="H54" s="375"/>
      <c r="I54" s="375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spans="1:257" x14ac:dyDescent="0.3">
      <c r="A55" s="397"/>
      <c r="B55" s="397"/>
      <c r="C55" s="397"/>
      <c r="D55" s="397"/>
      <c r="E55" s="397"/>
      <c r="F55" s="397"/>
      <c r="G55" s="397"/>
      <c r="H55" s="397"/>
      <c r="I55" s="397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spans="1:257" ht="14.25" customHeight="1" x14ac:dyDescent="0.3">
      <c r="A56" s="375"/>
      <c r="B56" s="375"/>
      <c r="C56" s="375"/>
      <c r="D56" s="375"/>
      <c r="E56" s="375"/>
      <c r="F56" s="375"/>
      <c r="G56" s="375"/>
      <c r="H56" s="375"/>
      <c r="I56" s="375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spans="1:257" ht="15.5" x14ac:dyDescent="0.3">
      <c r="A57" s="398" t="s">
        <v>80</v>
      </c>
      <c r="B57" s="398"/>
      <c r="C57" s="398"/>
      <c r="D57" s="398"/>
      <c r="E57" s="398"/>
      <c r="F57" s="398"/>
      <c r="G57" s="398"/>
      <c r="H57" s="398"/>
      <c r="I57" s="398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spans="1:257" x14ac:dyDescent="0.3">
      <c r="A58" s="392" t="s">
        <v>81</v>
      </c>
      <c r="B58" s="392"/>
      <c r="C58" s="392"/>
      <c r="D58" s="392"/>
      <c r="E58" s="392"/>
      <c r="F58" s="392"/>
      <c r="G58" s="392"/>
      <c r="H58" s="392"/>
      <c r="I58" s="39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spans="1:257" x14ac:dyDescent="0.3">
      <c r="A59" s="18" t="s">
        <v>82</v>
      </c>
      <c r="B59" s="393" t="s">
        <v>83</v>
      </c>
      <c r="C59" s="393"/>
      <c r="D59" s="393"/>
      <c r="E59" s="393"/>
      <c r="F59" s="393"/>
      <c r="G59" s="393"/>
      <c r="H59" s="19" t="s">
        <v>84</v>
      </c>
      <c r="I59" s="3" t="s">
        <v>85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spans="1:257" ht="13.5" customHeight="1" x14ac:dyDescent="0.3">
      <c r="A60" s="18" t="s">
        <v>34</v>
      </c>
      <c r="B60" s="394" t="s">
        <v>86</v>
      </c>
      <c r="C60" s="394"/>
      <c r="D60" s="394"/>
      <c r="E60" s="394"/>
      <c r="F60" s="394"/>
      <c r="G60" s="394"/>
      <c r="H60" s="20">
        <v>8.3299999999999999E-2</v>
      </c>
      <c r="I60" s="21">
        <f>ROUNDUP($I$48*H60,2)</f>
        <v>380.58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spans="1:257" ht="13.5" customHeight="1" x14ac:dyDescent="0.3">
      <c r="A61" s="18" t="s">
        <v>36</v>
      </c>
      <c r="B61" s="395" t="s">
        <v>87</v>
      </c>
      <c r="C61" s="395"/>
      <c r="D61" s="395"/>
      <c r="E61" s="395"/>
      <c r="F61" s="395"/>
      <c r="G61" s="395"/>
      <c r="H61" s="22">
        <v>3.0249999999999999E-2</v>
      </c>
      <c r="I61" s="21">
        <f>ROUNDUP($I$48*H61,2)</f>
        <v>138.20999999999998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spans="1:257" x14ac:dyDescent="0.3">
      <c r="A62" s="396" t="s">
        <v>75</v>
      </c>
      <c r="B62" s="396"/>
      <c r="C62" s="396"/>
      <c r="D62" s="396"/>
      <c r="E62" s="396"/>
      <c r="F62" s="396"/>
      <c r="G62" s="396"/>
      <c r="H62" s="396"/>
      <c r="I62" s="23">
        <f>TRUNC(SUM(I60:I61),2)</f>
        <v>518.79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spans="1:257" x14ac:dyDescent="0.3">
      <c r="A63" s="375"/>
      <c r="B63" s="375"/>
      <c r="C63" s="375"/>
      <c r="D63" s="375"/>
      <c r="E63" s="375"/>
      <c r="F63" s="375"/>
      <c r="G63" s="375"/>
      <c r="H63" s="375"/>
      <c r="I63" s="375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spans="1:257" x14ac:dyDescent="0.3">
      <c r="A64" s="400"/>
      <c r="B64" s="400"/>
      <c r="C64" s="400"/>
      <c r="D64" s="400"/>
      <c r="E64" s="400"/>
      <c r="F64" s="400"/>
      <c r="G64" s="400"/>
      <c r="H64" s="400"/>
      <c r="I64" s="400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spans="1:257" ht="14.25" customHeight="1" x14ac:dyDescent="0.3">
      <c r="A65" s="375"/>
      <c r="B65" s="375"/>
      <c r="C65" s="375"/>
      <c r="D65" s="375"/>
      <c r="E65" s="375"/>
      <c r="F65" s="375"/>
      <c r="G65" s="375"/>
      <c r="H65" s="375"/>
      <c r="I65" s="375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spans="1:257" ht="30" customHeight="1" x14ac:dyDescent="0.3">
      <c r="A66" s="401" t="s">
        <v>88</v>
      </c>
      <c r="B66" s="401"/>
      <c r="C66" s="401"/>
      <c r="D66" s="401"/>
      <c r="E66" s="401"/>
      <c r="F66" s="401"/>
      <c r="G66" s="401"/>
      <c r="H66" s="401"/>
      <c r="I66" s="401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spans="1:257" ht="30" customHeight="1" x14ac:dyDescent="0.3">
      <c r="A67" s="24" t="s">
        <v>89</v>
      </c>
      <c r="B67" s="402" t="s">
        <v>90</v>
      </c>
      <c r="C67" s="402"/>
      <c r="D67" s="402"/>
      <c r="E67" s="402"/>
      <c r="F67" s="402"/>
      <c r="G67" s="402"/>
      <c r="H67" s="26" t="s">
        <v>84</v>
      </c>
      <c r="I67" s="25" t="s">
        <v>67</v>
      </c>
    </row>
    <row r="68" spans="1:257" ht="14.25" customHeight="1" x14ac:dyDescent="0.3">
      <c r="A68" s="27" t="s">
        <v>34</v>
      </c>
      <c r="B68" s="399" t="s">
        <v>91</v>
      </c>
      <c r="C68" s="399"/>
      <c r="D68" s="399"/>
      <c r="E68" s="399"/>
      <c r="F68" s="399"/>
      <c r="G68" s="399"/>
      <c r="H68" s="213">
        <f>'Inserir dados na planilha'!I26</f>
        <v>0.2</v>
      </c>
      <c r="I68" s="16">
        <f t="shared" ref="I68:I75" si="0">ROUNDUP(($I$48+$I$62)*H68,2)</f>
        <v>1017.51</v>
      </c>
    </row>
    <row r="69" spans="1:257" ht="14.25" customHeight="1" x14ac:dyDescent="0.3">
      <c r="A69" s="27" t="s">
        <v>36</v>
      </c>
      <c r="B69" s="399" t="s">
        <v>92</v>
      </c>
      <c r="C69" s="399"/>
      <c r="D69" s="399"/>
      <c r="E69" s="399"/>
      <c r="F69" s="399"/>
      <c r="G69" s="399"/>
      <c r="H69" s="213">
        <f>'Inserir dados na planilha'!I27</f>
        <v>2.5000000000000001E-2</v>
      </c>
      <c r="I69" s="16">
        <f t="shared" si="0"/>
        <v>127.19000000000001</v>
      </c>
    </row>
    <row r="70" spans="1:257" ht="80.25" customHeight="1" x14ac:dyDescent="0.3">
      <c r="A70" s="27" t="s">
        <v>38</v>
      </c>
      <c r="B70" s="399" t="s">
        <v>93</v>
      </c>
      <c r="C70" s="399"/>
      <c r="D70" s="260" t="s">
        <v>94</v>
      </c>
      <c r="E70" s="261">
        <f>'Inserir dados na planilha'!I28</f>
        <v>0.03</v>
      </c>
      <c r="F70" s="260" t="s">
        <v>95</v>
      </c>
      <c r="G70" s="268">
        <f>'Inserir dados na planilha'!I29</f>
        <v>2</v>
      </c>
      <c r="H70" s="269">
        <f>ROUND((E70*G70),6)</f>
        <v>0.06</v>
      </c>
      <c r="I70" s="16">
        <f t="shared" si="0"/>
        <v>305.26</v>
      </c>
    </row>
    <row r="71" spans="1:257" ht="14.25" customHeight="1" x14ac:dyDescent="0.3">
      <c r="A71" s="27" t="s">
        <v>40</v>
      </c>
      <c r="B71" s="399" t="s">
        <v>96</v>
      </c>
      <c r="C71" s="399"/>
      <c r="D71" s="399"/>
      <c r="E71" s="399"/>
      <c r="F71" s="399"/>
      <c r="G71" s="399"/>
      <c r="H71" s="213">
        <f>'Inserir dados na planilha'!I30</f>
        <v>1.4999999999999999E-2</v>
      </c>
      <c r="I71" s="16">
        <f t="shared" si="0"/>
        <v>76.320000000000007</v>
      </c>
    </row>
    <row r="72" spans="1:257" ht="14.25" customHeight="1" x14ac:dyDescent="0.3">
      <c r="A72" s="27" t="s">
        <v>73</v>
      </c>
      <c r="B72" s="399" t="s">
        <v>97</v>
      </c>
      <c r="C72" s="399"/>
      <c r="D72" s="399"/>
      <c r="E72" s="399"/>
      <c r="F72" s="399"/>
      <c r="G72" s="399"/>
      <c r="H72" s="213">
        <f>'Inserir dados na planilha'!I31</f>
        <v>0.01</v>
      </c>
      <c r="I72" s="16">
        <f t="shared" si="0"/>
        <v>50.879999999999995</v>
      </c>
    </row>
    <row r="73" spans="1:257" ht="14.25" customHeight="1" x14ac:dyDescent="0.3">
      <c r="A73" s="27" t="s">
        <v>76</v>
      </c>
      <c r="B73" s="399" t="s">
        <v>98</v>
      </c>
      <c r="C73" s="399"/>
      <c r="D73" s="399"/>
      <c r="E73" s="399"/>
      <c r="F73" s="399"/>
      <c r="G73" s="399"/>
      <c r="H73" s="213">
        <f>'Inserir dados na planilha'!I32</f>
        <v>6.0000000000000001E-3</v>
      </c>
      <c r="I73" s="16">
        <f t="shared" si="0"/>
        <v>30.53</v>
      </c>
    </row>
    <row r="74" spans="1:257" ht="14.25" customHeight="1" x14ac:dyDescent="0.3">
      <c r="A74" s="27" t="s">
        <v>99</v>
      </c>
      <c r="B74" s="399" t="s">
        <v>100</v>
      </c>
      <c r="C74" s="399"/>
      <c r="D74" s="399"/>
      <c r="E74" s="399"/>
      <c r="F74" s="399"/>
      <c r="G74" s="399"/>
      <c r="H74" s="213">
        <f>'Inserir dados na planilha'!I33</f>
        <v>2E-3</v>
      </c>
      <c r="I74" s="16">
        <f t="shared" si="0"/>
        <v>10.18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spans="1:257" ht="14.25" customHeight="1" x14ac:dyDescent="0.3">
      <c r="A75" s="27" t="s">
        <v>101</v>
      </c>
      <c r="B75" s="399" t="s">
        <v>102</v>
      </c>
      <c r="C75" s="399"/>
      <c r="D75" s="399"/>
      <c r="E75" s="399"/>
      <c r="F75" s="399"/>
      <c r="G75" s="399"/>
      <c r="H75" s="213">
        <v>0.08</v>
      </c>
      <c r="I75" s="16">
        <f t="shared" si="0"/>
        <v>407.01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spans="1:257" x14ac:dyDescent="0.3">
      <c r="A76" s="396" t="s">
        <v>75</v>
      </c>
      <c r="B76" s="396"/>
      <c r="C76" s="396"/>
      <c r="D76" s="396"/>
      <c r="E76" s="396"/>
      <c r="F76" s="396"/>
      <c r="G76" s="396"/>
      <c r="H76" s="29">
        <f>SUM(H68:H75)</f>
        <v>0.39800000000000008</v>
      </c>
      <c r="I76" s="30">
        <f>TRUNC(SUM(I68:I75),2)</f>
        <v>2024.88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spans="1:257" x14ac:dyDescent="0.3">
      <c r="A77" s="31"/>
      <c r="B77" s="32"/>
      <c r="C77" s="32"/>
      <c r="D77" s="32"/>
      <c r="E77" s="32"/>
      <c r="F77" s="32"/>
      <c r="G77" s="32"/>
      <c r="H77" s="33"/>
      <c r="I77" s="34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spans="1:257" x14ac:dyDescent="0.3">
      <c r="A78" s="400"/>
      <c r="B78" s="400"/>
      <c r="C78" s="400"/>
      <c r="D78" s="400"/>
      <c r="E78" s="400"/>
      <c r="F78" s="400"/>
      <c r="G78" s="400"/>
      <c r="H78" s="400"/>
      <c r="I78" s="400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spans="1:257" x14ac:dyDescent="0.3">
      <c r="A79" s="375"/>
      <c r="B79" s="375"/>
      <c r="C79" s="375"/>
      <c r="D79" s="375"/>
      <c r="E79" s="375"/>
      <c r="F79" s="375"/>
      <c r="G79" s="375"/>
      <c r="H79" s="375"/>
      <c r="I79" s="375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spans="1:257" x14ac:dyDescent="0.3">
      <c r="A80" s="407" t="s">
        <v>103</v>
      </c>
      <c r="B80" s="407"/>
      <c r="C80" s="407"/>
      <c r="D80" s="407"/>
      <c r="E80" s="407"/>
      <c r="F80" s="407"/>
      <c r="G80" s="407"/>
      <c r="H80" s="407"/>
      <c r="I80" s="407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spans="1:257" ht="15.75" customHeight="1" x14ac:dyDescent="0.3">
      <c r="A81" s="35" t="s">
        <v>104</v>
      </c>
      <c r="B81" s="402" t="s">
        <v>105</v>
      </c>
      <c r="C81" s="402"/>
      <c r="D81" s="402"/>
      <c r="E81" s="402"/>
      <c r="F81" s="402"/>
      <c r="G81" s="402"/>
      <c r="H81" s="402"/>
      <c r="I81" s="25" t="s">
        <v>85</v>
      </c>
      <c r="J81" s="18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spans="1:257" ht="14.25" customHeight="1" x14ac:dyDescent="0.3">
      <c r="A82" s="138" t="s">
        <v>34</v>
      </c>
      <c r="B82" s="399" t="s">
        <v>106</v>
      </c>
      <c r="C82" s="399"/>
      <c r="D82" s="399"/>
      <c r="E82" s="399"/>
      <c r="F82" s="399"/>
      <c r="G82" s="399"/>
      <c r="H82" s="399"/>
      <c r="I82" s="290">
        <f>IF(((H83*H84*H85)-(H21*H86))&lt;0,0,((H83*H84*H85)-(H21*H86))*H37)</f>
        <v>29.135999999999996</v>
      </c>
      <c r="J82" s="293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spans="1:257" ht="25.5" customHeight="1" x14ac:dyDescent="0.3">
      <c r="A83" s="138"/>
      <c r="B83" s="446" t="s">
        <v>377</v>
      </c>
      <c r="C83" s="446"/>
      <c r="D83" s="446"/>
      <c r="E83" s="446"/>
      <c r="F83" s="446"/>
      <c r="G83" s="446"/>
      <c r="H83" s="262">
        <v>4</v>
      </c>
      <c r="I83" s="250"/>
      <c r="J83" s="293"/>
      <c r="K83" s="2"/>
      <c r="L83" s="181"/>
      <c r="M83" s="181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spans="1:257" ht="14.25" customHeight="1" x14ac:dyDescent="0.3">
      <c r="A84" s="138"/>
      <c r="B84" s="478" t="s">
        <v>108</v>
      </c>
      <c r="C84" s="478"/>
      <c r="D84" s="478"/>
      <c r="E84" s="478"/>
      <c r="F84" s="478"/>
      <c r="G84" s="478"/>
      <c r="H84" s="251">
        <v>2</v>
      </c>
      <c r="I84" s="25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spans="1:257" ht="14.25" customHeight="1" x14ac:dyDescent="0.3">
      <c r="A85" s="138"/>
      <c r="B85" s="446" t="s">
        <v>109</v>
      </c>
      <c r="C85" s="446"/>
      <c r="D85" s="446"/>
      <c r="E85" s="446"/>
      <c r="F85" s="446"/>
      <c r="G85" s="446"/>
      <c r="H85" s="251">
        <v>15</v>
      </c>
      <c r="I85" s="25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spans="1:257" x14ac:dyDescent="0.3">
      <c r="A86" s="138"/>
      <c r="B86" s="447" t="s">
        <v>110</v>
      </c>
      <c r="C86" s="447"/>
      <c r="D86" s="447"/>
      <c r="E86" s="447"/>
      <c r="F86" s="447"/>
      <c r="G86" s="447"/>
      <c r="H86" s="259">
        <v>0.06</v>
      </c>
      <c r="I86" s="254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spans="1:257" ht="14.25" customHeight="1" x14ac:dyDescent="0.3">
      <c r="A87" s="138" t="s">
        <v>36</v>
      </c>
      <c r="B87" s="479" t="s">
        <v>388</v>
      </c>
      <c r="C87" s="480"/>
      <c r="D87" s="480"/>
      <c r="E87" s="480"/>
      <c r="F87" s="480"/>
      <c r="G87" s="480"/>
      <c r="H87" s="481"/>
      <c r="I87" s="290">
        <f>ROUNDUP((H88*H89)*(1-H90)*H37,2)</f>
        <v>851.73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spans="1:257" ht="14.25" customHeight="1" x14ac:dyDescent="0.3">
      <c r="A88" s="138"/>
      <c r="B88" s="410" t="s">
        <v>111</v>
      </c>
      <c r="C88" s="411"/>
      <c r="D88" s="411"/>
      <c r="E88" s="411"/>
      <c r="F88" s="411"/>
      <c r="G88" s="412"/>
      <c r="H88" s="274">
        <f>'Inserir dados na planilha'!I40</f>
        <v>28.390899999999998</v>
      </c>
      <c r="I88" s="25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spans="1:257" ht="21" customHeight="1" x14ac:dyDescent="0.3">
      <c r="A89" s="139"/>
      <c r="B89" s="485" t="s">
        <v>112</v>
      </c>
      <c r="C89" s="486"/>
      <c r="D89" s="486"/>
      <c r="E89" s="486"/>
      <c r="F89" s="486"/>
      <c r="G89" s="487"/>
      <c r="H89" s="251">
        <v>15</v>
      </c>
      <c r="I89" s="25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spans="1:257" ht="22.5" customHeight="1" x14ac:dyDescent="0.3">
      <c r="A90" s="139"/>
      <c r="B90" s="410" t="s">
        <v>113</v>
      </c>
      <c r="C90" s="411"/>
      <c r="D90" s="411"/>
      <c r="E90" s="411"/>
      <c r="F90" s="412"/>
      <c r="G90" s="258">
        <f>'Inserir dados na planilha'!G41</f>
        <v>0</v>
      </c>
      <c r="H90" s="256">
        <f>'Inserir dados na planilha'!I41</f>
        <v>0</v>
      </c>
      <c r="I90" s="252">
        <f>'Inserir dados na planilha'!I41</f>
        <v>0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spans="1:257" ht="19.5" customHeight="1" x14ac:dyDescent="0.3">
      <c r="A91" s="138" t="s">
        <v>38</v>
      </c>
      <c r="B91" s="488" t="s">
        <v>114</v>
      </c>
      <c r="C91" s="489"/>
      <c r="D91" s="489"/>
      <c r="E91" s="489"/>
      <c r="F91" s="489"/>
      <c r="G91" s="490"/>
      <c r="H91" s="256">
        <f>'Inserir dados na planilha'!I42</f>
        <v>0</v>
      </c>
      <c r="I91" s="256">
        <f>ROUNDUP((H91*$H$37)*(1-'Inserir dados na planilha'!H42),2)</f>
        <v>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</row>
    <row r="92" spans="1:257" ht="18.75" customHeight="1" x14ac:dyDescent="0.3">
      <c r="A92" s="138" t="s">
        <v>40</v>
      </c>
      <c r="B92" s="443" t="s">
        <v>115</v>
      </c>
      <c r="C92" s="444"/>
      <c r="D92" s="444"/>
      <c r="E92" s="444"/>
      <c r="F92" s="444"/>
      <c r="G92" s="445"/>
      <c r="H92" s="256">
        <f>'Inserir dados na planilha'!I43</f>
        <v>44.03</v>
      </c>
      <c r="I92" s="256">
        <f>ROUNDUP((H92*$H$37)*(1-'Inserir dados na planilha'!H43),2)</f>
        <v>88.06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</row>
    <row r="93" spans="1:257" ht="14" customHeight="1" x14ac:dyDescent="0.3">
      <c r="A93" s="138" t="s">
        <v>73</v>
      </c>
      <c r="B93" s="413" t="s">
        <v>378</v>
      </c>
      <c r="C93" s="414"/>
      <c r="D93" s="414"/>
      <c r="E93" s="414"/>
      <c r="F93" s="414"/>
      <c r="G93" s="415"/>
      <c r="H93" s="256">
        <f>'Inserir dados na planilha'!I44</f>
        <v>0</v>
      </c>
      <c r="I93" s="256">
        <f>ROUNDUP((H93*$H$37)*(1-'Inserir dados na planilha'!H44),2)</f>
        <v>0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</row>
    <row r="94" spans="1:257" x14ac:dyDescent="0.3">
      <c r="A94" s="138" t="s">
        <v>76</v>
      </c>
      <c r="B94" s="413" t="s">
        <v>379</v>
      </c>
      <c r="C94" s="414"/>
      <c r="D94" s="414"/>
      <c r="E94" s="414"/>
      <c r="F94" s="414"/>
      <c r="G94" s="415"/>
      <c r="H94" s="256">
        <f>'Inserir dados na planilha'!I45</f>
        <v>0</v>
      </c>
      <c r="I94" s="256">
        <f>ROUNDUP((H94*$H$37)*(1-'Inserir dados na planilha'!H45),2)</f>
        <v>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</row>
    <row r="95" spans="1:257" x14ac:dyDescent="0.3">
      <c r="A95" s="38"/>
      <c r="B95" s="482" t="s">
        <v>75</v>
      </c>
      <c r="C95" s="483"/>
      <c r="D95" s="483"/>
      <c r="E95" s="483"/>
      <c r="F95" s="483"/>
      <c r="G95" s="483"/>
      <c r="H95" s="484"/>
      <c r="I95" s="30">
        <f>TRUNC(SUM(I82:I94),2)</f>
        <v>968.92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</row>
    <row r="96" spans="1:257" x14ac:dyDescent="0.3">
      <c r="A96" s="375"/>
      <c r="B96" s="375"/>
      <c r="C96" s="375"/>
      <c r="D96" s="375"/>
      <c r="E96" s="375"/>
      <c r="F96" s="375"/>
      <c r="G96" s="375"/>
      <c r="H96" s="375"/>
      <c r="I96" s="375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</row>
    <row r="97" spans="1:257" x14ac:dyDescent="0.3">
      <c r="A97" s="408"/>
      <c r="B97" s="408"/>
      <c r="C97" s="408"/>
      <c r="D97" s="408"/>
      <c r="E97" s="408"/>
      <c r="F97" s="408"/>
      <c r="G97" s="408"/>
      <c r="H97" s="408"/>
      <c r="I97" s="408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</row>
    <row r="98" spans="1:257" ht="14.25" customHeight="1" x14ac:dyDescent="0.3">
      <c r="A98" s="375"/>
      <c r="B98" s="375"/>
      <c r="C98" s="375"/>
      <c r="D98" s="375"/>
      <c r="E98" s="375"/>
      <c r="F98" s="375"/>
      <c r="G98" s="375"/>
      <c r="H98" s="375"/>
      <c r="I98" s="375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</row>
    <row r="99" spans="1:257" ht="17.25" customHeight="1" x14ac:dyDescent="0.3">
      <c r="A99" s="391" t="s">
        <v>116</v>
      </c>
      <c r="B99" s="391"/>
      <c r="C99" s="391"/>
      <c r="D99" s="391"/>
      <c r="E99" s="391"/>
      <c r="F99" s="391"/>
      <c r="G99" s="391"/>
      <c r="H99" s="391"/>
      <c r="I99" s="391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spans="1:257" ht="15.75" customHeight="1" x14ac:dyDescent="0.3">
      <c r="A100" s="25">
        <v>2</v>
      </c>
      <c r="B100" s="402" t="s">
        <v>117</v>
      </c>
      <c r="C100" s="402"/>
      <c r="D100" s="402"/>
      <c r="E100" s="402"/>
      <c r="F100" s="402"/>
      <c r="G100" s="402"/>
      <c r="H100" s="402"/>
      <c r="I100" s="25" t="s">
        <v>85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spans="1:257" ht="14.25" customHeight="1" x14ac:dyDescent="0.3">
      <c r="A101" s="3" t="s">
        <v>82</v>
      </c>
      <c r="B101" s="359" t="s">
        <v>118</v>
      </c>
      <c r="C101" s="359"/>
      <c r="D101" s="359"/>
      <c r="E101" s="359"/>
      <c r="F101" s="359"/>
      <c r="G101" s="359"/>
      <c r="H101" s="359"/>
      <c r="I101" s="184">
        <f>I62</f>
        <v>518.79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</row>
    <row r="102" spans="1:257" ht="14.25" customHeight="1" x14ac:dyDescent="0.3">
      <c r="A102" s="3" t="s">
        <v>89</v>
      </c>
      <c r="B102" s="359" t="s">
        <v>90</v>
      </c>
      <c r="C102" s="359"/>
      <c r="D102" s="359"/>
      <c r="E102" s="359"/>
      <c r="F102" s="359"/>
      <c r="G102" s="359"/>
      <c r="H102" s="359"/>
      <c r="I102" s="184">
        <f>I76</f>
        <v>2024.88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</row>
    <row r="103" spans="1:257" ht="14.25" customHeight="1" x14ac:dyDescent="0.3">
      <c r="A103" s="3" t="s">
        <v>104</v>
      </c>
      <c r="B103" s="359" t="s">
        <v>105</v>
      </c>
      <c r="C103" s="359"/>
      <c r="D103" s="359"/>
      <c r="E103" s="359"/>
      <c r="F103" s="359"/>
      <c r="G103" s="359"/>
      <c r="H103" s="359"/>
      <c r="I103" s="184">
        <f>I95</f>
        <v>968.92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spans="1:257" ht="14.25" customHeight="1" x14ac:dyDescent="0.3">
      <c r="A104" s="390" t="s">
        <v>75</v>
      </c>
      <c r="B104" s="390"/>
      <c r="C104" s="390"/>
      <c r="D104" s="390"/>
      <c r="E104" s="390"/>
      <c r="F104" s="390"/>
      <c r="G104" s="390"/>
      <c r="H104" s="390"/>
      <c r="I104" s="39">
        <f>TRUNC(SUM(I101:I103),2)</f>
        <v>3512.59</v>
      </c>
      <c r="J104" s="2"/>
      <c r="K104" s="40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spans="1:257" ht="14.25" customHeight="1" x14ac:dyDescent="0.3">
      <c r="A105" s="375"/>
      <c r="B105" s="375"/>
      <c r="C105" s="375"/>
      <c r="D105" s="375"/>
      <c r="E105" s="375"/>
      <c r="F105" s="375"/>
      <c r="G105" s="375"/>
      <c r="H105" s="375"/>
      <c r="I105" s="375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</row>
    <row r="106" spans="1:257" ht="15.5" x14ac:dyDescent="0.3">
      <c r="A106" s="398" t="s">
        <v>119</v>
      </c>
      <c r="B106" s="398"/>
      <c r="C106" s="398"/>
      <c r="D106" s="398"/>
      <c r="E106" s="398"/>
      <c r="F106" s="398"/>
      <c r="G106" s="398"/>
      <c r="H106" s="398"/>
      <c r="I106" s="398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</row>
    <row r="107" spans="1:257" x14ac:dyDescent="0.3">
      <c r="A107" s="35">
        <v>3</v>
      </c>
      <c r="B107" s="416" t="s">
        <v>120</v>
      </c>
      <c r="C107" s="416"/>
      <c r="D107" s="416"/>
      <c r="E107" s="416"/>
      <c r="F107" s="416"/>
      <c r="G107" s="416"/>
      <c r="H107" s="41" t="s">
        <v>84</v>
      </c>
      <c r="I107" s="35" t="s">
        <v>121</v>
      </c>
    </row>
    <row r="108" spans="1:257" ht="15" customHeight="1" x14ac:dyDescent="0.3">
      <c r="A108" s="18" t="s">
        <v>34</v>
      </c>
      <c r="B108" s="359" t="s">
        <v>122</v>
      </c>
      <c r="C108" s="359"/>
      <c r="D108" s="359"/>
      <c r="E108" s="359"/>
      <c r="F108" s="359"/>
      <c r="G108" s="359"/>
      <c r="H108" s="275">
        <f>I108/($I$48+$I$62)</f>
        <v>4.5837747739070778E-3</v>
      </c>
      <c r="I108" s="16">
        <f>ROUNDUP(((((I48+I62)*5.5%)/12)),2)</f>
        <v>23.32</v>
      </c>
      <c r="J108" s="42"/>
    </row>
    <row r="109" spans="1:257" x14ac:dyDescent="0.3">
      <c r="A109" s="18" t="s">
        <v>36</v>
      </c>
      <c r="B109" s="393" t="s">
        <v>123</v>
      </c>
      <c r="C109" s="393"/>
      <c r="D109" s="393"/>
      <c r="E109" s="393"/>
      <c r="F109" s="393"/>
      <c r="G109" s="393"/>
      <c r="H109" s="216">
        <f>I109/($I$48+$I$62)</f>
        <v>3.6756684507745441E-4</v>
      </c>
      <c r="I109" s="16">
        <f>ROUNDUP($I$108*H75,2)</f>
        <v>1.87</v>
      </c>
      <c r="J109" s="44"/>
    </row>
    <row r="110" spans="1:257" ht="13.5" customHeight="1" x14ac:dyDescent="0.3">
      <c r="A110" s="18" t="s">
        <v>38</v>
      </c>
      <c r="B110" s="359" t="s">
        <v>197</v>
      </c>
      <c r="C110" s="359"/>
      <c r="D110" s="359"/>
      <c r="E110" s="359"/>
      <c r="F110" s="359"/>
      <c r="G110" s="359"/>
      <c r="H110" s="43">
        <v>8.0000000000000002E-3</v>
      </c>
      <c r="I110" s="16">
        <f>ROUNDUP(H110*($I$48+$I$62),2)</f>
        <v>40.71</v>
      </c>
      <c r="J110" s="44"/>
    </row>
    <row r="111" spans="1:257" ht="15" customHeight="1" x14ac:dyDescent="0.3">
      <c r="A111" s="18" t="s">
        <v>40</v>
      </c>
      <c r="B111" s="359" t="s">
        <v>125</v>
      </c>
      <c r="C111" s="359"/>
      <c r="D111" s="359"/>
      <c r="E111" s="359"/>
      <c r="F111" s="359"/>
      <c r="G111" s="359"/>
      <c r="H111" s="276">
        <f>I111/($I$48+$I$62)</f>
        <v>1.944566202326875E-2</v>
      </c>
      <c r="I111" s="16">
        <f>ROUNDUP(((($I$48+$I$62)/30)*7)/12,2)</f>
        <v>98.93</v>
      </c>
      <c r="J111" s="45"/>
    </row>
    <row r="112" spans="1:257" ht="24" customHeight="1" x14ac:dyDescent="0.3">
      <c r="A112" s="18" t="s">
        <v>73</v>
      </c>
      <c r="B112" s="359" t="s">
        <v>126</v>
      </c>
      <c r="C112" s="359"/>
      <c r="D112" s="359"/>
      <c r="E112" s="359"/>
      <c r="F112" s="359"/>
      <c r="G112" s="359"/>
      <c r="H112" s="43">
        <f>I112/($I$48+$I$62)</f>
        <v>7.7405253257487447E-3</v>
      </c>
      <c r="I112" s="16">
        <f>ROUNDUP(I111*H76,2)</f>
        <v>39.379999999999995</v>
      </c>
      <c r="J112" s="208"/>
    </row>
    <row r="113" spans="1:257" x14ac:dyDescent="0.3">
      <c r="A113" s="18" t="s">
        <v>76</v>
      </c>
      <c r="B113" s="359" t="s">
        <v>127</v>
      </c>
      <c r="C113" s="359"/>
      <c r="D113" s="359"/>
      <c r="E113" s="359"/>
      <c r="F113" s="359"/>
      <c r="G113" s="359"/>
      <c r="H113" s="28">
        <f>I113/(I48)</f>
        <v>3.200021012449876E-2</v>
      </c>
      <c r="I113" s="16">
        <f>ROUNDUP((I48)*H75*40%,2)</f>
        <v>146.19999999999999</v>
      </c>
      <c r="J113" s="42"/>
    </row>
    <row r="114" spans="1:257" x14ac:dyDescent="0.3">
      <c r="A114" s="396" t="s">
        <v>75</v>
      </c>
      <c r="B114" s="396"/>
      <c r="C114" s="396"/>
      <c r="D114" s="396"/>
      <c r="E114" s="396"/>
      <c r="F114" s="396"/>
      <c r="G114" s="396"/>
      <c r="H114" s="396"/>
      <c r="I114" s="277">
        <f>TRUNC(SUM(I108:I113),2)</f>
        <v>350.41</v>
      </c>
    </row>
    <row r="115" spans="1:257" x14ac:dyDescent="0.3">
      <c r="A115" s="419"/>
      <c r="B115" s="419"/>
      <c r="C115" s="419"/>
      <c r="D115" s="419"/>
      <c r="E115" s="419"/>
      <c r="F115" s="419"/>
      <c r="G115" s="419"/>
      <c r="H115" s="419"/>
      <c r="I115" s="419"/>
    </row>
    <row r="116" spans="1:257" ht="17.25" customHeight="1" x14ac:dyDescent="0.3">
      <c r="A116" s="391" t="s">
        <v>128</v>
      </c>
      <c r="B116" s="391"/>
      <c r="C116" s="391"/>
      <c r="D116" s="391"/>
      <c r="E116" s="391"/>
      <c r="F116" s="391"/>
      <c r="G116" s="391"/>
      <c r="H116" s="391"/>
      <c r="I116" s="391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</row>
    <row r="117" spans="1:257" ht="17.25" hidden="1" customHeight="1" x14ac:dyDescent="0.35">
      <c r="A117" s="420" t="s">
        <v>129</v>
      </c>
      <c r="B117" s="420"/>
      <c r="C117" s="420"/>
      <c r="D117" s="420"/>
      <c r="E117" s="420"/>
      <c r="F117" s="420"/>
      <c r="G117" s="420"/>
      <c r="H117" s="420"/>
      <c r="I117" s="420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spans="1:257" ht="33.75" hidden="1" customHeight="1" x14ac:dyDescent="0.3">
      <c r="A118" s="46" t="s">
        <v>130</v>
      </c>
      <c r="B118" s="185">
        <f>I48</f>
        <v>4568.72</v>
      </c>
      <c r="C118" s="11"/>
      <c r="D118" s="48" t="s">
        <v>131</v>
      </c>
      <c r="E118" s="183">
        <f>I104-I82-I87</f>
        <v>2631.7240000000002</v>
      </c>
      <c r="F118" s="11"/>
      <c r="G118" s="46" t="s">
        <v>132</v>
      </c>
      <c r="H118" s="183">
        <f>I114</f>
        <v>350.41</v>
      </c>
      <c r="I118" s="186">
        <f>ROUND(B118+E118+H118,2)</f>
        <v>7550.85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19" spans="1:257" ht="15.5" x14ac:dyDescent="0.3">
      <c r="A119" s="391" t="s">
        <v>133</v>
      </c>
      <c r="B119" s="391"/>
      <c r="C119" s="391"/>
      <c r="D119" s="391"/>
      <c r="E119" s="391"/>
      <c r="F119" s="391"/>
      <c r="G119" s="391"/>
      <c r="H119" s="391"/>
      <c r="I119" s="391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</row>
    <row r="120" spans="1:257" x14ac:dyDescent="0.3">
      <c r="A120" s="51" t="s">
        <v>134</v>
      </c>
      <c r="B120" s="417" t="s">
        <v>135</v>
      </c>
      <c r="C120" s="417"/>
      <c r="D120" s="417"/>
      <c r="E120" s="417"/>
      <c r="F120" s="417"/>
      <c r="G120" s="417"/>
      <c r="H120" s="41" t="s">
        <v>84</v>
      </c>
      <c r="I120" s="52" t="s">
        <v>85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spans="1:257" ht="13.5" customHeight="1" x14ac:dyDescent="0.3">
      <c r="A121" s="18" t="s">
        <v>34</v>
      </c>
      <c r="B121" s="394" t="s">
        <v>136</v>
      </c>
      <c r="C121" s="394"/>
      <c r="D121" s="394"/>
      <c r="E121" s="394"/>
      <c r="F121" s="394"/>
      <c r="G121" s="394"/>
      <c r="H121" s="53">
        <v>9.0749999999999997E-2</v>
      </c>
      <c r="I121" s="16">
        <f>ROUNDUP($I$48*H121,2)</f>
        <v>414.62</v>
      </c>
      <c r="J121" s="2"/>
      <c r="K121" s="54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</row>
    <row r="122" spans="1:257" ht="13.5" customHeight="1" x14ac:dyDescent="0.3">
      <c r="A122" s="18" t="s">
        <v>137</v>
      </c>
      <c r="B122" s="394" t="s">
        <v>138</v>
      </c>
      <c r="C122" s="394"/>
      <c r="D122" s="394"/>
      <c r="E122" s="394"/>
      <c r="F122" s="394"/>
      <c r="G122" s="394"/>
      <c r="H122" s="194">
        <f>I122/($I$48+$I$62)</f>
        <v>3.2436299879508829E-2</v>
      </c>
      <c r="I122" s="16">
        <f>ROUNDUP(I121*H76,2)</f>
        <v>165.01999999999998</v>
      </c>
      <c r="J122" s="2"/>
      <c r="K122" s="54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</row>
    <row r="123" spans="1:257" ht="15" customHeight="1" x14ac:dyDescent="0.3">
      <c r="A123" s="18" t="s">
        <v>36</v>
      </c>
      <c r="B123" s="418" t="s">
        <v>139</v>
      </c>
      <c r="C123" s="418"/>
      <c r="D123" s="418"/>
      <c r="E123" s="418"/>
      <c r="F123" s="418"/>
      <c r="G123" s="418"/>
      <c r="H123" s="264">
        <f>'Inserir dados na planilha'!I49</f>
        <v>1.6299999999999999E-2</v>
      </c>
      <c r="I123" s="212">
        <f>ROUNDUP(H123*$I$118,2)</f>
        <v>123.08</v>
      </c>
      <c r="J123" s="54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</row>
    <row r="124" spans="1:257" ht="15" customHeight="1" x14ac:dyDescent="0.3">
      <c r="A124" s="18" t="s">
        <v>38</v>
      </c>
      <c r="B124" s="359" t="s">
        <v>140</v>
      </c>
      <c r="C124" s="359"/>
      <c r="D124" s="359"/>
      <c r="E124" s="359"/>
      <c r="F124" s="359"/>
      <c r="G124" s="359"/>
      <c r="H124" s="264">
        <f>'Inserir dados na planilha'!I50</f>
        <v>2.3000000000000001E-4</v>
      </c>
      <c r="I124" s="212">
        <f>ROUNDUP(H124*$I$118,2)</f>
        <v>1.74</v>
      </c>
      <c r="J124" s="56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spans="1:257" ht="15" customHeight="1" x14ac:dyDescent="0.3">
      <c r="A125" s="18" t="s">
        <v>40</v>
      </c>
      <c r="B125" s="359" t="s">
        <v>141</v>
      </c>
      <c r="C125" s="359"/>
      <c r="D125" s="359"/>
      <c r="E125" s="359"/>
      <c r="F125" s="359"/>
      <c r="G125" s="359"/>
      <c r="H125" s="264">
        <f>'Inserir dados na planilha'!I51</f>
        <v>3.3E-3</v>
      </c>
      <c r="I125" s="212">
        <f>ROUNDUP(H125*$I$118,2)</f>
        <v>24.92</v>
      </c>
      <c r="J125" s="56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</row>
    <row r="126" spans="1:257" ht="15" customHeight="1" x14ac:dyDescent="0.3">
      <c r="A126" s="18" t="s">
        <v>73</v>
      </c>
      <c r="B126" s="359" t="s">
        <v>142</v>
      </c>
      <c r="C126" s="359"/>
      <c r="D126" s="359"/>
      <c r="E126" s="359"/>
      <c r="F126" s="359"/>
      <c r="G126" s="359"/>
      <c r="H126" s="265">
        <f>'Inserir dados na planilha'!I52</f>
        <v>5.5000000000000003E-4</v>
      </c>
      <c r="I126" s="212">
        <f>ROUNDUP(H126*$I$118,2)</f>
        <v>4.16</v>
      </c>
      <c r="J126" s="56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</row>
    <row r="127" spans="1:257" ht="15" customHeight="1" x14ac:dyDescent="0.3">
      <c r="A127" s="18" t="s">
        <v>76</v>
      </c>
      <c r="B127" s="359" t="s">
        <v>143</v>
      </c>
      <c r="C127" s="359"/>
      <c r="D127" s="359"/>
      <c r="E127" s="359"/>
      <c r="F127" s="359"/>
      <c r="G127" s="359"/>
      <c r="H127" s="264">
        <f>'Inserir dados na planilha'!I53</f>
        <v>1.3899999999999999E-2</v>
      </c>
      <c r="I127" s="212">
        <f>ROUNDUP(H127*$I$118,2)</f>
        <v>104.96000000000001</v>
      </c>
      <c r="J127" s="56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</row>
    <row r="128" spans="1:257" ht="15.5" x14ac:dyDescent="0.3">
      <c r="A128" s="422" t="s">
        <v>75</v>
      </c>
      <c r="B128" s="422"/>
      <c r="C128" s="422"/>
      <c r="D128" s="422"/>
      <c r="E128" s="422"/>
      <c r="F128" s="422"/>
      <c r="G128" s="422"/>
      <c r="H128" s="422"/>
      <c r="I128" s="57">
        <f>TRUNC(SUM(I121:I127),2)</f>
        <v>838.5</v>
      </c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</row>
    <row r="129" spans="1:257" x14ac:dyDescent="0.3">
      <c r="A129" s="419"/>
      <c r="B129" s="419"/>
      <c r="C129" s="419"/>
      <c r="D129" s="419"/>
      <c r="E129" s="419"/>
      <c r="F129" s="419"/>
      <c r="G129" s="419"/>
      <c r="H129" s="419"/>
      <c r="I129" s="419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</row>
    <row r="130" spans="1:257" x14ac:dyDescent="0.3">
      <c r="A130" s="407" t="s">
        <v>144</v>
      </c>
      <c r="B130" s="407"/>
      <c r="C130" s="407"/>
      <c r="D130" s="407"/>
      <c r="E130" s="407"/>
      <c r="F130" s="407"/>
      <c r="G130" s="407"/>
      <c r="H130" s="407"/>
      <c r="I130" s="407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</row>
    <row r="131" spans="1:257" x14ac:dyDescent="0.3">
      <c r="A131" s="35" t="s">
        <v>145</v>
      </c>
      <c r="B131" s="416" t="s">
        <v>146</v>
      </c>
      <c r="C131" s="416"/>
      <c r="D131" s="416"/>
      <c r="E131" s="416"/>
      <c r="F131" s="416"/>
      <c r="G131" s="416"/>
      <c r="H131" s="416"/>
      <c r="I131" s="50" t="s">
        <v>85</v>
      </c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</row>
    <row r="132" spans="1:257" x14ac:dyDescent="0.3">
      <c r="A132" s="18" t="s">
        <v>34</v>
      </c>
      <c r="B132" s="491" t="s">
        <v>147</v>
      </c>
      <c r="C132" s="492"/>
      <c r="D132" s="492"/>
      <c r="E132" s="492"/>
      <c r="F132" s="492"/>
      <c r="G132" s="492"/>
      <c r="H132" s="493"/>
      <c r="I132" s="16">
        <f>ROUNDUP(H26*15*H37,2)</f>
        <v>311.7</v>
      </c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</row>
    <row r="133" spans="1:257" ht="14" customHeight="1" x14ac:dyDescent="0.3">
      <c r="A133" s="172" t="s">
        <v>36</v>
      </c>
      <c r="B133" s="494" t="s">
        <v>451</v>
      </c>
      <c r="C133" s="495"/>
      <c r="D133" s="495"/>
      <c r="E133" s="495"/>
      <c r="F133" s="495"/>
      <c r="G133" s="495"/>
      <c r="H133" s="496"/>
      <c r="I133" s="147">
        <f>ROUNDUP(I132*0.0833,2)</f>
        <v>25.970000000000002</v>
      </c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</row>
    <row r="134" spans="1:257" ht="14" customHeight="1" x14ac:dyDescent="0.3">
      <c r="A134" s="172" t="s">
        <v>38</v>
      </c>
      <c r="B134" s="494" t="s">
        <v>452</v>
      </c>
      <c r="C134" s="495"/>
      <c r="D134" s="495"/>
      <c r="E134" s="495"/>
      <c r="F134" s="495"/>
      <c r="G134" s="495"/>
      <c r="H134" s="496"/>
      <c r="I134" s="147">
        <f>ROUNDUP(I132*0.03025,2)</f>
        <v>9.43</v>
      </c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</row>
    <row r="135" spans="1:257" ht="14" customHeight="1" x14ac:dyDescent="0.3">
      <c r="A135" s="172" t="s">
        <v>40</v>
      </c>
      <c r="B135" s="494" t="s">
        <v>453</v>
      </c>
      <c r="C135" s="495"/>
      <c r="D135" s="495"/>
      <c r="E135" s="495"/>
      <c r="F135" s="495"/>
      <c r="G135" s="495"/>
      <c r="H135" s="496"/>
      <c r="I135" s="147">
        <f>ROUNDUP((I132+I133+I134)*H76,2)</f>
        <v>138.14999999999998</v>
      </c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</row>
    <row r="136" spans="1:257" ht="15.5" x14ac:dyDescent="0.3">
      <c r="A136" s="421" t="s">
        <v>75</v>
      </c>
      <c r="B136" s="421"/>
      <c r="C136" s="421"/>
      <c r="D136" s="421"/>
      <c r="E136" s="421"/>
      <c r="F136" s="421"/>
      <c r="G136" s="421"/>
      <c r="H136" s="421"/>
      <c r="I136" s="16">
        <f>TRUNC(SUM(I132:I135),2)</f>
        <v>485.25</v>
      </c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</row>
    <row r="137" spans="1:257" ht="14.25" customHeight="1" x14ac:dyDescent="0.3">
      <c r="A137" s="419"/>
      <c r="B137" s="419"/>
      <c r="C137" s="419"/>
      <c r="D137" s="419"/>
      <c r="E137" s="419"/>
      <c r="F137" s="419"/>
      <c r="G137" s="419"/>
      <c r="H137" s="419"/>
      <c r="I137" s="419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spans="1:257" ht="17.25" customHeight="1" x14ac:dyDescent="0.3">
      <c r="A138" s="391" t="s">
        <v>148</v>
      </c>
      <c r="B138" s="391"/>
      <c r="C138" s="391"/>
      <c r="D138" s="391"/>
      <c r="E138" s="391"/>
      <c r="F138" s="391"/>
      <c r="G138" s="391"/>
      <c r="H138" s="391"/>
      <c r="I138" s="391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spans="1:257" x14ac:dyDescent="0.3">
      <c r="A139" s="25">
        <v>4</v>
      </c>
      <c r="B139" s="416" t="s">
        <v>149</v>
      </c>
      <c r="C139" s="416"/>
      <c r="D139" s="416"/>
      <c r="E139" s="416"/>
      <c r="F139" s="416"/>
      <c r="G139" s="416"/>
      <c r="H139" s="416"/>
      <c r="I139" s="50" t="s">
        <v>85</v>
      </c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spans="1:257" x14ac:dyDescent="0.3">
      <c r="A140" s="3" t="s">
        <v>134</v>
      </c>
      <c r="B140" s="393" t="s">
        <v>135</v>
      </c>
      <c r="C140" s="393"/>
      <c r="D140" s="393"/>
      <c r="E140" s="393"/>
      <c r="F140" s="393"/>
      <c r="G140" s="393"/>
      <c r="H140" s="393"/>
      <c r="I140" s="16">
        <f>I128</f>
        <v>838.5</v>
      </c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spans="1:257" x14ac:dyDescent="0.3">
      <c r="A141" s="3" t="s">
        <v>145</v>
      </c>
      <c r="B141" s="393" t="s">
        <v>146</v>
      </c>
      <c r="C141" s="393"/>
      <c r="D141" s="393"/>
      <c r="E141" s="393"/>
      <c r="F141" s="393"/>
      <c r="G141" s="393"/>
      <c r="H141" s="393"/>
      <c r="I141" s="16">
        <f>I136</f>
        <v>485.25</v>
      </c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</row>
    <row r="142" spans="1:257" ht="14.25" customHeight="1" x14ac:dyDescent="0.3">
      <c r="A142" s="390" t="s">
        <v>75</v>
      </c>
      <c r="B142" s="390"/>
      <c r="C142" s="390"/>
      <c r="D142" s="390"/>
      <c r="E142" s="390"/>
      <c r="F142" s="390"/>
      <c r="G142" s="390"/>
      <c r="H142" s="390"/>
      <c r="I142" s="30">
        <f>TRUNC(SUM(I140:I141),2)</f>
        <v>1323.75</v>
      </c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</row>
    <row r="143" spans="1:257" x14ac:dyDescent="0.3">
      <c r="A143" s="375"/>
      <c r="B143" s="375"/>
      <c r="C143" s="375"/>
      <c r="D143" s="375"/>
      <c r="E143" s="375"/>
      <c r="F143" s="375"/>
      <c r="G143" s="375"/>
      <c r="H143" s="375"/>
      <c r="I143" s="375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spans="1:257" ht="17.25" customHeight="1" x14ac:dyDescent="0.3">
      <c r="A144" s="391" t="s">
        <v>150</v>
      </c>
      <c r="B144" s="391"/>
      <c r="C144" s="391"/>
      <c r="D144" s="391"/>
      <c r="E144" s="391"/>
      <c r="F144" s="391"/>
      <c r="G144" s="391"/>
      <c r="H144" s="391"/>
      <c r="I144" s="391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</row>
    <row r="145" spans="1:257" ht="31.5" customHeight="1" x14ac:dyDescent="0.3">
      <c r="A145" s="35">
        <v>5</v>
      </c>
      <c r="B145" s="424" t="s">
        <v>151</v>
      </c>
      <c r="C145" s="425"/>
      <c r="D145" s="425"/>
      <c r="E145" s="425"/>
      <c r="F145" s="425"/>
      <c r="G145" s="426"/>
      <c r="H145" s="210" t="s">
        <v>398</v>
      </c>
      <c r="I145" s="35" t="s">
        <v>85</v>
      </c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spans="1:257" ht="14.25" customHeight="1" x14ac:dyDescent="0.3">
      <c r="A146" s="18" t="s">
        <v>34</v>
      </c>
      <c r="B146" s="443" t="s">
        <v>152</v>
      </c>
      <c r="C146" s="444"/>
      <c r="D146" s="444"/>
      <c r="E146" s="444"/>
      <c r="F146" s="444"/>
      <c r="G146" s="445"/>
      <c r="H146" s="214">
        <f>'Uniforme e Materiais - Grupo 1'!F18</f>
        <v>215.5</v>
      </c>
      <c r="I146" s="214">
        <f>H146*H37</f>
        <v>431</v>
      </c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</row>
    <row r="147" spans="1:257" ht="14.25" customHeight="1" x14ac:dyDescent="0.3">
      <c r="A147" s="18" t="s">
        <v>36</v>
      </c>
      <c r="B147" s="399" t="s">
        <v>153</v>
      </c>
      <c r="C147" s="399"/>
      <c r="D147" s="399"/>
      <c r="E147" s="399"/>
      <c r="F147" s="399"/>
      <c r="G147" s="399"/>
      <c r="H147" s="399"/>
      <c r="I147" s="214">
        <f>'Uniforme e Materiais - Grupo 1'!F36</f>
        <v>241.35</v>
      </c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</row>
    <row r="148" spans="1:257" x14ac:dyDescent="0.3">
      <c r="A148" s="18" t="s">
        <v>38</v>
      </c>
      <c r="B148" s="442" t="s">
        <v>154</v>
      </c>
      <c r="C148" s="442"/>
      <c r="D148" s="442"/>
      <c r="E148" s="442"/>
      <c r="F148" s="442"/>
      <c r="G148" s="442"/>
      <c r="H148" s="442"/>
      <c r="I148" s="219">
        <v>0</v>
      </c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</row>
    <row r="149" spans="1:257" ht="14.25" customHeight="1" x14ac:dyDescent="0.3">
      <c r="A149" s="18" t="s">
        <v>40</v>
      </c>
      <c r="B149" s="399" t="s">
        <v>155</v>
      </c>
      <c r="C149" s="399"/>
      <c r="D149" s="399"/>
      <c r="E149" s="399"/>
      <c r="F149" s="399"/>
      <c r="G149" s="399"/>
      <c r="H149" s="399"/>
      <c r="I149" s="219">
        <v>0</v>
      </c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</row>
    <row r="150" spans="1:257" x14ac:dyDescent="0.3">
      <c r="A150" s="396" t="s">
        <v>75</v>
      </c>
      <c r="B150" s="396"/>
      <c r="C150" s="396"/>
      <c r="D150" s="396"/>
      <c r="E150" s="396"/>
      <c r="F150" s="396"/>
      <c r="G150" s="396"/>
      <c r="H150" s="396"/>
      <c r="I150" s="39">
        <f>TRUNC(SUM(I146:I149),2)</f>
        <v>672.35</v>
      </c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</row>
    <row r="151" spans="1:257" x14ac:dyDescent="0.3">
      <c r="A151" s="375"/>
      <c r="B151" s="375"/>
      <c r="C151" s="375"/>
      <c r="D151" s="375"/>
      <c r="E151" s="375"/>
      <c r="F151" s="375"/>
      <c r="G151" s="375"/>
      <c r="H151" s="375"/>
      <c r="I151" s="375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</row>
    <row r="152" spans="1:257" x14ac:dyDescent="0.3">
      <c r="A152" s="423"/>
      <c r="B152" s="423"/>
      <c r="C152" s="423"/>
      <c r="D152" s="423"/>
      <c r="E152" s="423"/>
      <c r="F152" s="423"/>
      <c r="G152" s="423"/>
      <c r="H152" s="423"/>
      <c r="I152" s="423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</row>
    <row r="153" spans="1:257" ht="18" x14ac:dyDescent="0.3">
      <c r="A153" s="58"/>
      <c r="B153" s="59"/>
      <c r="C153" s="59"/>
      <c r="D153" s="59"/>
      <c r="E153" s="59"/>
      <c r="F153" s="59"/>
      <c r="G153" s="59"/>
      <c r="H153" s="59"/>
      <c r="I153" s="60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</row>
    <row r="154" spans="1:257" ht="15.5" x14ac:dyDescent="0.3">
      <c r="A154" s="398" t="s">
        <v>156</v>
      </c>
      <c r="B154" s="398"/>
      <c r="C154" s="398"/>
      <c r="D154" s="398"/>
      <c r="E154" s="398"/>
      <c r="F154" s="398"/>
      <c r="G154" s="398"/>
      <c r="H154" s="398"/>
      <c r="I154" s="398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</row>
    <row r="155" spans="1:257" ht="28" x14ac:dyDescent="0.3">
      <c r="A155" s="35">
        <v>6</v>
      </c>
      <c r="B155" s="416" t="s">
        <v>157</v>
      </c>
      <c r="C155" s="416"/>
      <c r="D155" s="416"/>
      <c r="E155" s="416"/>
      <c r="F155" s="416"/>
      <c r="G155" s="416"/>
      <c r="H155" s="26" t="s">
        <v>84</v>
      </c>
      <c r="I155" s="61" t="s">
        <v>67</v>
      </c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</row>
    <row r="156" spans="1:257" ht="13.5" customHeight="1" x14ac:dyDescent="0.3">
      <c r="A156" s="394" t="s">
        <v>158</v>
      </c>
      <c r="B156" s="394"/>
      <c r="C156" s="394"/>
      <c r="D156" s="394"/>
      <c r="E156" s="394"/>
      <c r="F156" s="394"/>
      <c r="G156" s="394"/>
      <c r="H156" s="18" t="s">
        <v>164</v>
      </c>
      <c r="I156" s="16">
        <f>(I53+I104+I114+I142+I150)</f>
        <v>10427.820000000002</v>
      </c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</row>
    <row r="157" spans="1:257" ht="27" customHeight="1" x14ac:dyDescent="0.3">
      <c r="A157" s="62" t="s">
        <v>34</v>
      </c>
      <c r="B157" s="391" t="s">
        <v>159</v>
      </c>
      <c r="C157" s="391"/>
      <c r="D157" s="391"/>
      <c r="E157" s="391"/>
      <c r="F157" s="391"/>
      <c r="G157" s="391"/>
      <c r="H157" s="213">
        <f>'Inserir dados na planilha'!I57</f>
        <v>0.05</v>
      </c>
      <c r="I157" s="212">
        <f>ROUNDUP(H157*I156,2)</f>
        <v>521.4</v>
      </c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</row>
    <row r="158" spans="1:257" ht="13.5" customHeight="1" x14ac:dyDescent="0.3">
      <c r="A158" s="394" t="s">
        <v>160</v>
      </c>
      <c r="B158" s="394"/>
      <c r="C158" s="394"/>
      <c r="D158" s="394"/>
      <c r="E158" s="394"/>
      <c r="F158" s="394"/>
      <c r="G158" s="394"/>
      <c r="H158" s="257" t="s">
        <v>164</v>
      </c>
      <c r="I158" s="212">
        <f>(I53+I104+I114+I142+I150+I157)</f>
        <v>10949.220000000001</v>
      </c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</row>
    <row r="159" spans="1:257" ht="15.5" x14ac:dyDescent="0.3">
      <c r="A159" s="62" t="s">
        <v>36</v>
      </c>
      <c r="B159" s="398" t="s">
        <v>161</v>
      </c>
      <c r="C159" s="398"/>
      <c r="D159" s="398"/>
      <c r="E159" s="398"/>
      <c r="F159" s="398"/>
      <c r="G159" s="398"/>
      <c r="H159" s="213">
        <f>'Inserir dados na planilha'!I58</f>
        <v>0.1</v>
      </c>
      <c r="I159" s="212">
        <f>ROUNDUP(H159*I158,2)</f>
        <v>1094.93</v>
      </c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</row>
    <row r="160" spans="1:257" ht="13.5" customHeight="1" x14ac:dyDescent="0.3">
      <c r="A160" s="394" t="s">
        <v>162</v>
      </c>
      <c r="B160" s="394"/>
      <c r="C160" s="394"/>
      <c r="D160" s="394"/>
      <c r="E160" s="394"/>
      <c r="F160" s="394"/>
      <c r="G160" s="394"/>
      <c r="H160" s="266" t="s">
        <v>164</v>
      </c>
      <c r="I160" s="212">
        <f>(I53+I104+I114+I142+I150+I157+I159)</f>
        <v>12044.150000000001</v>
      </c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spans="1:257" ht="15.5" x14ac:dyDescent="0.3">
      <c r="A161" s="62" t="s">
        <v>38</v>
      </c>
      <c r="B161" s="398" t="s">
        <v>163</v>
      </c>
      <c r="C161" s="398"/>
      <c r="D161" s="398"/>
      <c r="E161" s="398"/>
      <c r="F161" s="398"/>
      <c r="G161" s="398"/>
      <c r="H161" s="266" t="s">
        <v>164</v>
      </c>
      <c r="I161" s="211" t="s">
        <v>164</v>
      </c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</row>
    <row r="162" spans="1:257" ht="15.5" x14ac:dyDescent="0.3">
      <c r="A162" s="18"/>
      <c r="B162" s="398" t="s">
        <v>165</v>
      </c>
      <c r="C162" s="398"/>
      <c r="D162" s="398"/>
      <c r="E162" s="398"/>
      <c r="F162" s="398"/>
      <c r="G162" s="398"/>
      <c r="H162" s="266" t="s">
        <v>164</v>
      </c>
      <c r="I162" s="211" t="s">
        <v>164</v>
      </c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</row>
    <row r="163" spans="1:257" ht="15.5" x14ac:dyDescent="0.3">
      <c r="A163" s="18"/>
      <c r="B163" s="391" t="s">
        <v>166</v>
      </c>
      <c r="C163" s="391"/>
      <c r="D163" s="391"/>
      <c r="E163" s="391"/>
      <c r="F163" s="391"/>
      <c r="G163" s="391"/>
      <c r="H163" s="213">
        <f>'Inserir dados na planilha'!I59</f>
        <v>0.03</v>
      </c>
      <c r="I163" s="212">
        <f>ROUNDUP(($I$160/(1-$H$170))*H163,2)</f>
        <v>395.53999999999996</v>
      </c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</row>
    <row r="164" spans="1:257" ht="15.5" x14ac:dyDescent="0.3">
      <c r="A164" s="18"/>
      <c r="B164" s="391" t="s">
        <v>167</v>
      </c>
      <c r="C164" s="391"/>
      <c r="D164" s="391"/>
      <c r="E164" s="391"/>
      <c r="F164" s="391"/>
      <c r="G164" s="391"/>
      <c r="H164" s="213">
        <f>'Inserir dados na planilha'!I60</f>
        <v>6.4999999999999997E-3</v>
      </c>
      <c r="I164" s="212">
        <f>ROUNDUP(($I$160/(1-$H$170))*H164,2)</f>
        <v>85.710000000000008</v>
      </c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</row>
    <row r="165" spans="1:257" x14ac:dyDescent="0.3">
      <c r="A165" s="18"/>
      <c r="B165" s="389" t="s">
        <v>168</v>
      </c>
      <c r="C165" s="389"/>
      <c r="D165" s="389"/>
      <c r="E165" s="389"/>
      <c r="F165" s="389"/>
      <c r="G165" s="389"/>
      <c r="H165" s="20" t="s">
        <v>164</v>
      </c>
      <c r="I165" s="36" t="s">
        <v>164</v>
      </c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</row>
    <row r="166" spans="1:257" ht="17.25" customHeight="1" x14ac:dyDescent="0.3">
      <c r="A166" s="18"/>
      <c r="B166" s="391" t="s">
        <v>169</v>
      </c>
      <c r="C166" s="391"/>
      <c r="D166" s="391"/>
      <c r="E166" s="391"/>
      <c r="F166" s="391"/>
      <c r="G166" s="391"/>
      <c r="H166" s="20" t="s">
        <v>164</v>
      </c>
      <c r="I166" s="36" t="s">
        <v>164</v>
      </c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</row>
    <row r="167" spans="1:257" x14ac:dyDescent="0.3">
      <c r="A167" s="18"/>
      <c r="B167" s="359" t="s">
        <v>382</v>
      </c>
      <c r="C167" s="359"/>
      <c r="D167" s="359"/>
      <c r="E167" s="359"/>
      <c r="F167" s="359"/>
      <c r="G167" s="359"/>
      <c r="H167" s="213">
        <f>'Inserir dados na planilha'!I61</f>
        <v>0.05</v>
      </c>
      <c r="I167" s="16">
        <f>ROUNDUP(($I$160/(1-$H$170))*H167,2)</f>
        <v>659.24</v>
      </c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</row>
    <row r="168" spans="1:257" x14ac:dyDescent="0.3">
      <c r="A168" s="396" t="s">
        <v>75</v>
      </c>
      <c r="B168" s="396"/>
      <c r="C168" s="396"/>
      <c r="D168" s="396"/>
      <c r="E168" s="396"/>
      <c r="F168" s="396"/>
      <c r="G168" s="396"/>
      <c r="H168" s="396"/>
      <c r="I168" s="30">
        <f>TRUNC((I157+I159+I163+I164+I167),2)</f>
        <v>2756.82</v>
      </c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</row>
    <row r="169" spans="1:257" x14ac:dyDescent="0.3">
      <c r="A169" s="375"/>
      <c r="B169" s="375"/>
      <c r="C169" s="375"/>
      <c r="D169" s="375"/>
      <c r="E169" s="375"/>
      <c r="F169" s="375"/>
      <c r="G169" s="375"/>
      <c r="H169" s="375"/>
      <c r="I169" s="375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</row>
    <row r="170" spans="1:257" ht="14.25" customHeight="1" x14ac:dyDescent="0.3">
      <c r="A170" s="427" t="s">
        <v>170</v>
      </c>
      <c r="B170" s="427"/>
      <c r="C170" s="427"/>
      <c r="D170" s="427"/>
      <c r="E170" s="427"/>
      <c r="F170" s="427"/>
      <c r="G170" s="427"/>
      <c r="H170" s="28">
        <f>SUM(H163:H167)</f>
        <v>8.6499999999999994E-2</v>
      </c>
      <c r="I170" s="16">
        <f>SUM(I163:I167)</f>
        <v>1140.49</v>
      </c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spans="1:257" x14ac:dyDescent="0.3">
      <c r="A171" s="428" t="s">
        <v>171</v>
      </c>
      <c r="B171" s="428"/>
      <c r="C171" s="429" t="s">
        <v>172</v>
      </c>
      <c r="D171" s="429"/>
      <c r="E171" s="429"/>
      <c r="F171" s="429"/>
      <c r="G171" s="429"/>
      <c r="H171" s="429"/>
      <c r="I171" s="429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spans="1:257" x14ac:dyDescent="0.3">
      <c r="A172" s="428"/>
      <c r="B172" s="428"/>
      <c r="C172" s="430" t="s">
        <v>173</v>
      </c>
      <c r="D172" s="430"/>
      <c r="E172" s="430"/>
      <c r="F172" s="430"/>
      <c r="G172" s="430"/>
      <c r="H172" s="430"/>
      <c r="I172" s="430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spans="1:257" x14ac:dyDescent="0.3">
      <c r="A173" s="428"/>
      <c r="B173" s="428"/>
      <c r="C173" s="431" t="s">
        <v>174</v>
      </c>
      <c r="D173" s="431"/>
      <c r="E173" s="431"/>
      <c r="F173" s="431"/>
      <c r="G173" s="431"/>
      <c r="H173" s="431"/>
      <c r="I173" s="43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spans="1:257" x14ac:dyDescent="0.3">
      <c r="A174" s="433"/>
      <c r="B174" s="433"/>
      <c r="C174" s="433"/>
      <c r="D174" s="433"/>
      <c r="E174" s="433"/>
      <c r="F174" s="433"/>
      <c r="G174" s="433"/>
      <c r="H174" s="433"/>
      <c r="I174" s="433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</row>
    <row r="175" spans="1:257" x14ac:dyDescent="0.3">
      <c r="A175" s="408"/>
      <c r="B175" s="408"/>
      <c r="C175" s="408"/>
      <c r="D175" s="408"/>
      <c r="E175" s="408"/>
      <c r="F175" s="408"/>
      <c r="G175" s="408"/>
      <c r="H175" s="408"/>
      <c r="I175" s="408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spans="1:257" x14ac:dyDescent="0.3">
      <c r="A176" s="375"/>
      <c r="B176" s="375"/>
      <c r="C176" s="375"/>
      <c r="D176" s="375"/>
      <c r="E176" s="375"/>
      <c r="F176" s="375"/>
      <c r="G176" s="375"/>
      <c r="H176" s="375"/>
      <c r="I176" s="375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</row>
    <row r="177" spans="1:257" ht="39" customHeight="1" x14ac:dyDescent="0.3">
      <c r="A177" s="434" t="s">
        <v>175</v>
      </c>
      <c r="B177" s="434"/>
      <c r="C177" s="434"/>
      <c r="D177" s="434"/>
      <c r="E177" s="434"/>
      <c r="F177" s="434"/>
      <c r="G177" s="434"/>
      <c r="H177" s="434"/>
      <c r="I177" s="434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spans="1:257" ht="24.75" customHeight="1" x14ac:dyDescent="0.3">
      <c r="A178" s="435" t="s">
        <v>176</v>
      </c>
      <c r="B178" s="435"/>
      <c r="C178" s="435"/>
      <c r="D178" s="435"/>
      <c r="E178" s="435"/>
      <c r="F178" s="435"/>
      <c r="G178" s="435"/>
      <c r="H178" s="435"/>
      <c r="I178" s="4" t="s">
        <v>85</v>
      </c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spans="1:257" ht="14.25" customHeight="1" x14ac:dyDescent="0.3">
      <c r="A179" s="63" t="s">
        <v>34</v>
      </c>
      <c r="B179" s="359" t="s">
        <v>177</v>
      </c>
      <c r="C179" s="359"/>
      <c r="D179" s="359"/>
      <c r="E179" s="359"/>
      <c r="F179" s="359"/>
      <c r="G179" s="359"/>
      <c r="H179" s="359"/>
      <c r="I179" s="37">
        <f>I53</f>
        <v>4568.72</v>
      </c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</row>
    <row r="180" spans="1:257" ht="14.25" customHeight="1" x14ac:dyDescent="0.3">
      <c r="A180" s="63" t="s">
        <v>36</v>
      </c>
      <c r="B180" s="359" t="s">
        <v>80</v>
      </c>
      <c r="C180" s="359"/>
      <c r="D180" s="359"/>
      <c r="E180" s="359"/>
      <c r="F180" s="359"/>
      <c r="G180" s="359"/>
      <c r="H180" s="359"/>
      <c r="I180" s="37">
        <f>I104</f>
        <v>3512.59</v>
      </c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spans="1:257" ht="14.25" customHeight="1" x14ac:dyDescent="0.3">
      <c r="A181" s="63" t="s">
        <v>38</v>
      </c>
      <c r="B181" s="359" t="s">
        <v>178</v>
      </c>
      <c r="C181" s="359"/>
      <c r="D181" s="359"/>
      <c r="E181" s="359"/>
      <c r="F181" s="359"/>
      <c r="G181" s="359"/>
      <c r="H181" s="359"/>
      <c r="I181" s="37">
        <f>I114</f>
        <v>350.41</v>
      </c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spans="1:257" ht="14.25" customHeight="1" x14ac:dyDescent="0.3">
      <c r="A182" s="63" t="s">
        <v>40</v>
      </c>
      <c r="B182" s="359" t="s">
        <v>179</v>
      </c>
      <c r="C182" s="359"/>
      <c r="D182" s="359"/>
      <c r="E182" s="359"/>
      <c r="F182" s="359"/>
      <c r="G182" s="359"/>
      <c r="H182" s="359"/>
      <c r="I182" s="37">
        <f>I142</f>
        <v>1323.75</v>
      </c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spans="1:257" ht="14.25" customHeight="1" x14ac:dyDescent="0.3">
      <c r="A183" s="63" t="s">
        <v>73</v>
      </c>
      <c r="B183" s="359" t="s">
        <v>180</v>
      </c>
      <c r="C183" s="359"/>
      <c r="D183" s="359"/>
      <c r="E183" s="359"/>
      <c r="F183" s="359"/>
      <c r="G183" s="359"/>
      <c r="H183" s="359"/>
      <c r="I183" s="37">
        <f>I150</f>
        <v>672.35</v>
      </c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spans="1:257" ht="14.25" customHeight="1" x14ac:dyDescent="0.3">
      <c r="A184" s="432" t="s">
        <v>181</v>
      </c>
      <c r="B184" s="432"/>
      <c r="C184" s="432"/>
      <c r="D184" s="432"/>
      <c r="E184" s="432"/>
      <c r="F184" s="432"/>
      <c r="G184" s="432"/>
      <c r="H184" s="432"/>
      <c r="I184" s="39">
        <f>TRUNC(SUM(I179:I183),2)</f>
        <v>10427.82</v>
      </c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spans="1:257" ht="14.25" customHeight="1" x14ac:dyDescent="0.3">
      <c r="A185" s="64" t="s">
        <v>76</v>
      </c>
      <c r="B185" s="367" t="s">
        <v>182</v>
      </c>
      <c r="C185" s="367"/>
      <c r="D185" s="367"/>
      <c r="E185" s="367"/>
      <c r="F185" s="367"/>
      <c r="G185" s="367"/>
      <c r="H185" s="367"/>
      <c r="I185" s="37">
        <f>I168</f>
        <v>2756.82</v>
      </c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spans="1:257" ht="14.25" customHeight="1" x14ac:dyDescent="0.3">
      <c r="A186" s="432" t="s">
        <v>183</v>
      </c>
      <c r="B186" s="432"/>
      <c r="C186" s="432"/>
      <c r="D186" s="432"/>
      <c r="E186" s="432"/>
      <c r="F186" s="432"/>
      <c r="G186" s="432"/>
      <c r="H186" s="432"/>
      <c r="I186" s="39">
        <f>TRUNC(SUM(I184:I185),2)</f>
        <v>13184.64</v>
      </c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spans="1:257" ht="14.25" customHeight="1" x14ac:dyDescent="0.3">
      <c r="A187" s="432" t="s">
        <v>184</v>
      </c>
      <c r="B187" s="432"/>
      <c r="C187" s="432"/>
      <c r="D187" s="432"/>
      <c r="E187" s="432"/>
      <c r="F187" s="432"/>
      <c r="G187" s="432"/>
      <c r="H187" s="432"/>
      <c r="I187" s="65">
        <v>1</v>
      </c>
      <c r="J187" s="40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spans="1:257" ht="14.25" customHeight="1" x14ac:dyDescent="0.3">
      <c r="A188" s="432" t="s">
        <v>185</v>
      </c>
      <c r="B188" s="432"/>
      <c r="C188" s="432"/>
      <c r="D188" s="432"/>
      <c r="E188" s="432"/>
      <c r="F188" s="432"/>
      <c r="G188" s="432"/>
      <c r="H188" s="432"/>
      <c r="I188" s="39">
        <f>I186/H37</f>
        <v>6592.32</v>
      </c>
      <c r="J188" s="40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spans="1:257" ht="14.25" customHeight="1" x14ac:dyDescent="0.3">
      <c r="A189" s="432" t="s">
        <v>186</v>
      </c>
      <c r="B189" s="432"/>
      <c r="C189" s="432"/>
      <c r="D189" s="432"/>
      <c r="E189" s="432"/>
      <c r="F189" s="432"/>
      <c r="G189" s="432"/>
      <c r="H189" s="432"/>
      <c r="I189" s="65">
        <f>H37</f>
        <v>2</v>
      </c>
      <c r="J189" s="40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spans="1:257" ht="14.25" customHeight="1" x14ac:dyDescent="0.3">
      <c r="A190" s="500"/>
      <c r="B190" s="501"/>
      <c r="C190" s="501"/>
      <c r="D190" s="501"/>
      <c r="E190" s="501"/>
      <c r="F190" s="501"/>
      <c r="G190" s="501"/>
      <c r="H190" s="501"/>
      <c r="I190" s="502"/>
      <c r="J190" s="40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</row>
    <row r="191" spans="1:257" ht="14.25" customHeight="1" x14ac:dyDescent="0.3">
      <c r="A191" s="503" t="s">
        <v>187</v>
      </c>
      <c r="B191" s="503"/>
      <c r="C191" s="503"/>
      <c r="D191" s="503"/>
      <c r="E191" s="503"/>
      <c r="F191" s="503"/>
      <c r="G191" s="503"/>
      <c r="H191" s="503"/>
      <c r="I191" s="173">
        <f>I186*I187</f>
        <v>13184.64</v>
      </c>
      <c r="J191" s="40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spans="1:257" ht="14.25" customHeight="1" x14ac:dyDescent="0.3">
      <c r="A192" s="204"/>
      <c r="B192" s="205"/>
      <c r="C192" s="205"/>
      <c r="D192" s="205"/>
      <c r="E192" s="205"/>
      <c r="F192" s="205"/>
      <c r="G192" s="205"/>
      <c r="H192" s="205"/>
      <c r="I192" s="207"/>
      <c r="J192" s="40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</row>
    <row r="193" spans="1:257" ht="18.75" customHeight="1" x14ac:dyDescent="0.3">
      <c r="A193" s="437" t="s">
        <v>188</v>
      </c>
      <c r="B193" s="437"/>
      <c r="C193" s="437"/>
      <c r="D193" s="437"/>
      <c r="E193" s="437"/>
      <c r="F193" s="437"/>
      <c r="G193" s="497">
        <f>I186*I187</f>
        <v>13184.64</v>
      </c>
      <c r="H193" s="498"/>
      <c r="I193" s="499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</row>
    <row r="194" spans="1:257" x14ac:dyDescent="0.3">
      <c r="A194" s="436"/>
      <c r="B194" s="436"/>
      <c r="C194" s="436"/>
      <c r="D194" s="436"/>
      <c r="E194" s="436"/>
      <c r="F194" s="436"/>
      <c r="G194" s="436"/>
      <c r="H194" s="436"/>
      <c r="I194" s="436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</row>
    <row r="195" spans="1:257" ht="18.75" customHeight="1" x14ac:dyDescent="0.3">
      <c r="A195" s="437" t="s">
        <v>189</v>
      </c>
      <c r="B195" s="437"/>
      <c r="C195" s="437"/>
      <c r="D195" s="437"/>
      <c r="E195" s="437"/>
      <c r="F195" s="437"/>
      <c r="G195" s="438">
        <f>H9</f>
        <v>24</v>
      </c>
      <c r="H195" s="438"/>
      <c r="I195" s="438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</row>
    <row r="196" spans="1:257" ht="18.75" customHeight="1" x14ac:dyDescent="0.3">
      <c r="A196" s="436"/>
      <c r="B196" s="436"/>
      <c r="C196" s="436"/>
      <c r="D196" s="436"/>
      <c r="E196" s="436"/>
      <c r="F196" s="436"/>
      <c r="G196" s="436"/>
      <c r="H196" s="436"/>
      <c r="I196" s="436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</row>
    <row r="197" spans="1:257" ht="31.5" customHeight="1" x14ac:dyDescent="0.3">
      <c r="A197" s="439" t="s">
        <v>190</v>
      </c>
      <c r="B197" s="439"/>
      <c r="C197" s="439"/>
      <c r="D197" s="439"/>
      <c r="E197" s="439"/>
      <c r="F197" s="439"/>
      <c r="G197" s="440">
        <f>G193*G195</f>
        <v>316431.35999999999</v>
      </c>
      <c r="H197" s="440"/>
      <c r="I197" s="440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</row>
    <row r="198" spans="1:257" ht="14.25" customHeight="1" x14ac:dyDescent="0.3">
      <c r="A198" s="375"/>
      <c r="B198" s="375"/>
      <c r="C198" s="375"/>
      <c r="D198" s="375"/>
      <c r="E198" s="375"/>
      <c r="F198" s="375"/>
      <c r="G198" s="375"/>
      <c r="H198" s="375"/>
      <c r="I198" s="375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</row>
  </sheetData>
  <sheetProtection algorithmName="SHA-512" hashValue="MZgOb55JRqwoR7S/WzkWqk5juFJKzn7z7+X12JsWcx6J4Qwt1sD2R84iIHBYL9RzncUOSLXp+D3a4kUSlgDdCw==" saltValue="2si51KC7Cdf1xdkd3XhGJQ==" spinCount="100000" sheet="1" objects="1" scenarios="1"/>
  <mergeCells count="259">
    <mergeCell ref="A198:I198"/>
    <mergeCell ref="A194:I194"/>
    <mergeCell ref="A195:F195"/>
    <mergeCell ref="G195:I195"/>
    <mergeCell ref="A196:I196"/>
    <mergeCell ref="A197:F197"/>
    <mergeCell ref="G197:I197"/>
    <mergeCell ref="A186:H186"/>
    <mergeCell ref="A188:H188"/>
    <mergeCell ref="A193:F193"/>
    <mergeCell ref="G193:I193"/>
    <mergeCell ref="A187:H187"/>
    <mergeCell ref="A189:H189"/>
    <mergeCell ref="A190:I190"/>
    <mergeCell ref="A191:H191"/>
    <mergeCell ref="B180:H180"/>
    <mergeCell ref="B181:H181"/>
    <mergeCell ref="B182:H182"/>
    <mergeCell ref="B183:H183"/>
    <mergeCell ref="A184:H184"/>
    <mergeCell ref="B185:H185"/>
    <mergeCell ref="A174:I174"/>
    <mergeCell ref="A175:I175"/>
    <mergeCell ref="A176:I176"/>
    <mergeCell ref="A177:I177"/>
    <mergeCell ref="A178:H178"/>
    <mergeCell ref="B179:H179"/>
    <mergeCell ref="B166:G166"/>
    <mergeCell ref="B167:G167"/>
    <mergeCell ref="A168:H168"/>
    <mergeCell ref="A169:I169"/>
    <mergeCell ref="A170:G170"/>
    <mergeCell ref="A171:B173"/>
    <mergeCell ref="C171:I171"/>
    <mergeCell ref="C172:I172"/>
    <mergeCell ref="C173:I173"/>
    <mergeCell ref="A160:G160"/>
    <mergeCell ref="B161:G161"/>
    <mergeCell ref="B162:G162"/>
    <mergeCell ref="B163:G163"/>
    <mergeCell ref="B164:G164"/>
    <mergeCell ref="B165:G165"/>
    <mergeCell ref="A154:I154"/>
    <mergeCell ref="B155:G155"/>
    <mergeCell ref="A156:G156"/>
    <mergeCell ref="B157:G157"/>
    <mergeCell ref="A158:G158"/>
    <mergeCell ref="B159:G159"/>
    <mergeCell ref="B147:H147"/>
    <mergeCell ref="B148:H148"/>
    <mergeCell ref="B149:H149"/>
    <mergeCell ref="A150:H150"/>
    <mergeCell ref="A151:I151"/>
    <mergeCell ref="A152:I152"/>
    <mergeCell ref="B141:H141"/>
    <mergeCell ref="A142:H142"/>
    <mergeCell ref="A143:I143"/>
    <mergeCell ref="A144:I144"/>
    <mergeCell ref="B146:G146"/>
    <mergeCell ref="B145:G145"/>
    <mergeCell ref="B132:H132"/>
    <mergeCell ref="A136:H136"/>
    <mergeCell ref="A137:I137"/>
    <mergeCell ref="A138:I138"/>
    <mergeCell ref="B139:H139"/>
    <mergeCell ref="B140:H140"/>
    <mergeCell ref="B126:G126"/>
    <mergeCell ref="B127:G127"/>
    <mergeCell ref="A128:H128"/>
    <mergeCell ref="A129:I129"/>
    <mergeCell ref="A130:I130"/>
    <mergeCell ref="B131:H131"/>
    <mergeCell ref="B133:H133"/>
    <mergeCell ref="B134:H134"/>
    <mergeCell ref="B135:H135"/>
    <mergeCell ref="B120:G120"/>
    <mergeCell ref="B121:G121"/>
    <mergeCell ref="B122:G122"/>
    <mergeCell ref="B123:G123"/>
    <mergeCell ref="B124:G124"/>
    <mergeCell ref="B125:G125"/>
    <mergeCell ref="B113:G113"/>
    <mergeCell ref="A114:H114"/>
    <mergeCell ref="A115:I115"/>
    <mergeCell ref="A116:I116"/>
    <mergeCell ref="A117:I117"/>
    <mergeCell ref="A119:I119"/>
    <mergeCell ref="B107:G107"/>
    <mergeCell ref="B108:G108"/>
    <mergeCell ref="B109:G109"/>
    <mergeCell ref="B110:G110"/>
    <mergeCell ref="B111:G111"/>
    <mergeCell ref="B112:G112"/>
    <mergeCell ref="B101:H101"/>
    <mergeCell ref="B102:H102"/>
    <mergeCell ref="B103:H103"/>
    <mergeCell ref="A104:H104"/>
    <mergeCell ref="A105:I105"/>
    <mergeCell ref="A106:I106"/>
    <mergeCell ref="B95:H95"/>
    <mergeCell ref="A96:I96"/>
    <mergeCell ref="A97:I97"/>
    <mergeCell ref="A98:I98"/>
    <mergeCell ref="A99:I99"/>
    <mergeCell ref="B100:H100"/>
    <mergeCell ref="B89:G89"/>
    <mergeCell ref="B91:G91"/>
    <mergeCell ref="B92:G92"/>
    <mergeCell ref="B93:G93"/>
    <mergeCell ref="B94:G94"/>
    <mergeCell ref="B90:F90"/>
    <mergeCell ref="B83:G83"/>
    <mergeCell ref="B84:G84"/>
    <mergeCell ref="B85:G85"/>
    <mergeCell ref="B86:G86"/>
    <mergeCell ref="B87:H87"/>
    <mergeCell ref="B88:G88"/>
    <mergeCell ref="A76:G76"/>
    <mergeCell ref="A78:I78"/>
    <mergeCell ref="A79:I79"/>
    <mergeCell ref="A80:I80"/>
    <mergeCell ref="B81:H81"/>
    <mergeCell ref="B82:H82"/>
    <mergeCell ref="B70:C70"/>
    <mergeCell ref="B71:G71"/>
    <mergeCell ref="B72:G72"/>
    <mergeCell ref="B73:G73"/>
    <mergeCell ref="B74:G74"/>
    <mergeCell ref="B75:G75"/>
    <mergeCell ref="A64:I64"/>
    <mergeCell ref="A65:I65"/>
    <mergeCell ref="A66:I66"/>
    <mergeCell ref="B67:G67"/>
    <mergeCell ref="B68:G68"/>
    <mergeCell ref="B69:G69"/>
    <mergeCell ref="A58:I58"/>
    <mergeCell ref="B59:G59"/>
    <mergeCell ref="B60:G60"/>
    <mergeCell ref="B61:G61"/>
    <mergeCell ref="A62:H62"/>
    <mergeCell ref="A63:I63"/>
    <mergeCell ref="A52:I52"/>
    <mergeCell ref="A53:H53"/>
    <mergeCell ref="A54:I54"/>
    <mergeCell ref="A55:I55"/>
    <mergeCell ref="A56:I56"/>
    <mergeCell ref="A57:I57"/>
    <mergeCell ref="B46:G46"/>
    <mergeCell ref="B47:H47"/>
    <mergeCell ref="A48:H48"/>
    <mergeCell ref="A49:I49"/>
    <mergeCell ref="B50:H50"/>
    <mergeCell ref="A51:H51"/>
    <mergeCell ref="A40:I40"/>
    <mergeCell ref="A41:I41"/>
    <mergeCell ref="B42:G42"/>
    <mergeCell ref="B43:G43"/>
    <mergeCell ref="B44:G44"/>
    <mergeCell ref="B45:G45"/>
    <mergeCell ref="B36:G36"/>
    <mergeCell ref="H36:I36"/>
    <mergeCell ref="B37:G37"/>
    <mergeCell ref="H37:I37"/>
    <mergeCell ref="A38:I38"/>
    <mergeCell ref="A39:I39"/>
    <mergeCell ref="B33:G33"/>
    <mergeCell ref="H33:I33"/>
    <mergeCell ref="B34:G34"/>
    <mergeCell ref="H34:I34"/>
    <mergeCell ref="B35:G35"/>
    <mergeCell ref="H35:I35"/>
    <mergeCell ref="B30:G30"/>
    <mergeCell ref="H30:I30"/>
    <mergeCell ref="B31:G31"/>
    <mergeCell ref="H31:I31"/>
    <mergeCell ref="B32:G32"/>
    <mergeCell ref="H32:I32"/>
    <mergeCell ref="B27:G27"/>
    <mergeCell ref="H27:I27"/>
    <mergeCell ref="B28:G28"/>
    <mergeCell ref="H28:I28"/>
    <mergeCell ref="B29:G29"/>
    <mergeCell ref="H29:I29"/>
    <mergeCell ref="B24:F24"/>
    <mergeCell ref="H24:I24"/>
    <mergeCell ref="B25:G25"/>
    <mergeCell ref="H25:I25"/>
    <mergeCell ref="B26:G26"/>
    <mergeCell ref="H26:I26"/>
    <mergeCell ref="IO20:IV20"/>
    <mergeCell ref="B21:G21"/>
    <mergeCell ref="H21:I21"/>
    <mergeCell ref="B22:G22"/>
    <mergeCell ref="H22:I22"/>
    <mergeCell ref="B23:G23"/>
    <mergeCell ref="H23:I23"/>
    <mergeCell ref="GS20:GZ20"/>
    <mergeCell ref="HA20:HH20"/>
    <mergeCell ref="HI20:HP20"/>
    <mergeCell ref="HQ20:HX20"/>
    <mergeCell ref="HY20:IF20"/>
    <mergeCell ref="IG20:IN20"/>
    <mergeCell ref="EW20:FD20"/>
    <mergeCell ref="FE20:FL20"/>
    <mergeCell ref="FM20:FT20"/>
    <mergeCell ref="FU20:GB20"/>
    <mergeCell ref="GC20:GJ20"/>
    <mergeCell ref="GK20:GR20"/>
    <mergeCell ref="DA20:DH20"/>
    <mergeCell ref="DI20:DP20"/>
    <mergeCell ref="DQ20:DX20"/>
    <mergeCell ref="DY20:EF20"/>
    <mergeCell ref="EG20:EN20"/>
    <mergeCell ref="EO20:EV20"/>
    <mergeCell ref="BE20:BL20"/>
    <mergeCell ref="BM20:BT20"/>
    <mergeCell ref="BU20:CB20"/>
    <mergeCell ref="CC20:CJ20"/>
    <mergeCell ref="CK20:CR20"/>
    <mergeCell ref="CS20:CZ20"/>
    <mergeCell ref="J20:P20"/>
    <mergeCell ref="Q20:X20"/>
    <mergeCell ref="Y20:AF20"/>
    <mergeCell ref="AG20:AN20"/>
    <mergeCell ref="AO20:AV20"/>
    <mergeCell ref="AW20:BD20"/>
    <mergeCell ref="A16:I16"/>
    <mergeCell ref="A17:I17"/>
    <mergeCell ref="A18:I18"/>
    <mergeCell ref="B19:G19"/>
    <mergeCell ref="H19:I19"/>
    <mergeCell ref="B20:G20"/>
    <mergeCell ref="H20:I20"/>
    <mergeCell ref="A12:E12"/>
    <mergeCell ref="F12:G12"/>
    <mergeCell ref="H12:I12"/>
    <mergeCell ref="A13:I13"/>
    <mergeCell ref="A14:I14"/>
    <mergeCell ref="A15:I15"/>
    <mergeCell ref="B9:G9"/>
    <mergeCell ref="H9:I9"/>
    <mergeCell ref="A10:I10"/>
    <mergeCell ref="A11:E11"/>
    <mergeCell ref="F11:G11"/>
    <mergeCell ref="H11:I11"/>
    <mergeCell ref="A5:I5"/>
    <mergeCell ref="B6:G6"/>
    <mergeCell ref="H6:I6"/>
    <mergeCell ref="B7:G7"/>
    <mergeCell ref="H7:I7"/>
    <mergeCell ref="B8:G8"/>
    <mergeCell ref="H8:I8"/>
    <mergeCell ref="A1:I1"/>
    <mergeCell ref="A2:E2"/>
    <mergeCell ref="F2:I2"/>
    <mergeCell ref="A3:E3"/>
    <mergeCell ref="F3:I3"/>
    <mergeCell ref="A4:E4"/>
    <mergeCell ref="F4:I4"/>
  </mergeCells>
  <pageMargins left="0.78740157480314965" right="0.78740157480314965" top="1.0629921259842521" bottom="1.0629921259842521" header="0.78740157480314965" footer="0.78740157480314965"/>
  <pageSetup paperSize="9" scale="80" orientation="portrait" horizontalDpi="300" verticalDpi="300" r:id="rId1"/>
  <headerFooter>
    <oddHeader>&amp;L&amp;A</oddHeader>
    <oddFooter>Página &amp;P&amp;R</oddFooter>
  </headerFooter>
  <rowBreaks count="3" manualBreakCount="3">
    <brk id="39" max="8" man="1"/>
    <brk id="97" max="8" man="1"/>
    <brk id="153" max="8" man="1"/>
  </rowBreaks>
  <colBreaks count="1" manualBreakCount="1">
    <brk id="20" max="191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1C7B3-E50C-4492-AFD5-6148FF094115}">
  <dimension ref="A1:IP198"/>
  <sheetViews>
    <sheetView showGridLines="0" view="pageBreakPreview" zoomScaleNormal="115" zoomScaleSheetLayoutView="100" workbookViewId="0">
      <selection activeCell="I132" sqref="I132"/>
    </sheetView>
  </sheetViews>
  <sheetFormatPr defaultColWidth="10.5" defaultRowHeight="12.5" x14ac:dyDescent="0.25"/>
  <cols>
    <col min="1" max="1" width="8.75" style="140" customWidth="1"/>
    <col min="2" max="2" width="9.08203125" style="140" customWidth="1"/>
    <col min="3" max="3" width="8" style="140" customWidth="1"/>
    <col min="4" max="4" width="13.08203125" style="140" customWidth="1"/>
    <col min="5" max="6" width="8" style="140" customWidth="1"/>
    <col min="7" max="7" width="8.5" style="140" bestFit="1" customWidth="1"/>
    <col min="8" max="8" width="12.83203125" style="140" customWidth="1"/>
    <col min="9" max="9" width="13.6640625" style="140" customWidth="1"/>
    <col min="10" max="250" width="8" style="140" customWidth="1"/>
    <col min="251" max="16384" width="10.5" style="140"/>
  </cols>
  <sheetData>
    <row r="1" spans="1:9" ht="42" customHeight="1" x14ac:dyDescent="0.25">
      <c r="A1" s="504" t="s">
        <v>30</v>
      </c>
      <c r="B1" s="504"/>
      <c r="C1" s="504"/>
      <c r="D1" s="504"/>
      <c r="E1" s="504"/>
      <c r="F1" s="504"/>
      <c r="G1" s="504"/>
      <c r="H1" s="504"/>
      <c r="I1" s="504"/>
    </row>
    <row r="2" spans="1:9" ht="14.25" customHeight="1" x14ac:dyDescent="0.25">
      <c r="A2" s="359" t="s">
        <v>31</v>
      </c>
      <c r="B2" s="359"/>
      <c r="C2" s="359"/>
      <c r="D2" s="359"/>
      <c r="E2" s="359"/>
      <c r="F2" s="362" t="str">
        <f>'Inserir dados na planilha'!E4</f>
        <v>13075.141464/2025-18</v>
      </c>
      <c r="G2" s="363"/>
      <c r="H2" s="363"/>
      <c r="I2" s="363"/>
    </row>
    <row r="3" spans="1:9" ht="17.25" customHeight="1" x14ac:dyDescent="0.25">
      <c r="A3" s="359" t="s">
        <v>32</v>
      </c>
      <c r="B3" s="359"/>
      <c r="C3" s="359"/>
      <c r="D3" s="359"/>
      <c r="E3" s="359"/>
      <c r="F3" s="362" t="str">
        <f>'Inserir dados na planilha'!E5</f>
        <v>170040/90001/2026</v>
      </c>
      <c r="G3" s="363"/>
      <c r="H3" s="363"/>
      <c r="I3" s="363"/>
    </row>
    <row r="4" spans="1:9" ht="16.5" customHeight="1" x14ac:dyDescent="0.25">
      <c r="A4" s="365" t="s">
        <v>456</v>
      </c>
      <c r="B4" s="366"/>
      <c r="C4" s="366"/>
      <c r="D4" s="366"/>
      <c r="E4" s="367"/>
      <c r="F4" s="368" t="str">
        <f>'Inserir dados na planilha'!E6</f>
        <v>*****</v>
      </c>
      <c r="G4" s="369"/>
      <c r="H4" s="369"/>
      <c r="I4" s="370"/>
    </row>
    <row r="5" spans="1:9" ht="18.75" customHeight="1" x14ac:dyDescent="0.25">
      <c r="A5" s="358" t="s">
        <v>33</v>
      </c>
      <c r="B5" s="358"/>
      <c r="C5" s="358"/>
      <c r="D5" s="358"/>
      <c r="E5" s="358"/>
      <c r="F5" s="358"/>
      <c r="G5" s="358"/>
      <c r="H5" s="358"/>
      <c r="I5" s="358"/>
    </row>
    <row r="6" spans="1:9" ht="14.25" customHeight="1" x14ac:dyDescent="0.25">
      <c r="A6" s="217" t="s">
        <v>34</v>
      </c>
      <c r="B6" s="359" t="s">
        <v>35</v>
      </c>
      <c r="C6" s="359"/>
      <c r="D6" s="359"/>
      <c r="E6" s="359"/>
      <c r="F6" s="359"/>
      <c r="G6" s="359"/>
      <c r="H6" s="360" t="str">
        <f>'Inserir dados na planilha'!E11</f>
        <v>****</v>
      </c>
      <c r="I6" s="360"/>
    </row>
    <row r="7" spans="1:9" ht="14.25" customHeight="1" x14ac:dyDescent="0.25">
      <c r="A7" s="198" t="s">
        <v>36</v>
      </c>
      <c r="B7" s="359" t="s">
        <v>37</v>
      </c>
      <c r="C7" s="359"/>
      <c r="D7" s="359"/>
      <c r="E7" s="359"/>
      <c r="F7" s="359"/>
      <c r="G7" s="359"/>
      <c r="H7" s="361" t="s">
        <v>375</v>
      </c>
      <c r="I7" s="361"/>
    </row>
    <row r="8" spans="1:9" ht="39" customHeight="1" x14ac:dyDescent="0.25">
      <c r="A8" s="217" t="s">
        <v>38</v>
      </c>
      <c r="B8" s="365" t="s">
        <v>39</v>
      </c>
      <c r="C8" s="366"/>
      <c r="D8" s="366"/>
      <c r="E8" s="366"/>
      <c r="F8" s="366"/>
      <c r="G8" s="367"/>
      <c r="H8" s="476" t="str">
        <f>'Inserir dados na planilha'!E9</f>
        <v>PI000015/2025</v>
      </c>
      <c r="I8" s="477"/>
    </row>
    <row r="9" spans="1:9" ht="14.25" customHeight="1" x14ac:dyDescent="0.25">
      <c r="A9" s="217" t="s">
        <v>40</v>
      </c>
      <c r="B9" s="365" t="s">
        <v>41</v>
      </c>
      <c r="C9" s="366"/>
      <c r="D9" s="366"/>
      <c r="E9" s="366"/>
      <c r="F9" s="366"/>
      <c r="G9" s="367"/>
      <c r="H9" s="468">
        <f>'Inserir dados na planilha'!E15</f>
        <v>24</v>
      </c>
      <c r="I9" s="469"/>
    </row>
    <row r="10" spans="1:9" ht="14.25" customHeight="1" x14ac:dyDescent="0.25">
      <c r="A10" s="470" t="s">
        <v>42</v>
      </c>
      <c r="B10" s="471"/>
      <c r="C10" s="471"/>
      <c r="D10" s="471"/>
      <c r="E10" s="471"/>
      <c r="F10" s="471"/>
      <c r="G10" s="471"/>
      <c r="H10" s="471"/>
      <c r="I10" s="472"/>
    </row>
    <row r="11" spans="1:9" ht="39" customHeight="1" x14ac:dyDescent="0.25">
      <c r="A11" s="473" t="s">
        <v>43</v>
      </c>
      <c r="B11" s="474"/>
      <c r="C11" s="474"/>
      <c r="D11" s="474"/>
      <c r="E11" s="475"/>
      <c r="F11" s="473" t="s">
        <v>44</v>
      </c>
      <c r="G11" s="475"/>
      <c r="H11" s="473" t="s">
        <v>45</v>
      </c>
      <c r="I11" s="475"/>
    </row>
    <row r="12" spans="1:9" ht="14.25" customHeight="1" x14ac:dyDescent="0.25">
      <c r="A12" s="461" t="str">
        <f>'Inserir dados na planilha'!E13</f>
        <v>Vigilância e segurança armada</v>
      </c>
      <c r="B12" s="462"/>
      <c r="C12" s="462"/>
      <c r="D12" s="462"/>
      <c r="E12" s="463"/>
      <c r="F12" s="464" t="str">
        <f>'Inserir dados na planilha'!E16</f>
        <v>Posto de Serviço</v>
      </c>
      <c r="G12" s="465"/>
      <c r="H12" s="466">
        <v>1</v>
      </c>
      <c r="I12" s="467"/>
    </row>
    <row r="13" spans="1:9" ht="14.25" customHeight="1" x14ac:dyDescent="0.25">
      <c r="A13" s="505"/>
      <c r="B13" s="505"/>
      <c r="C13" s="505"/>
      <c r="D13" s="505"/>
      <c r="E13" s="505"/>
      <c r="F13" s="505"/>
      <c r="G13" s="505"/>
      <c r="H13" s="505"/>
      <c r="I13" s="505"/>
    </row>
    <row r="14" spans="1:9" x14ac:dyDescent="0.25">
      <c r="A14" s="506"/>
      <c r="B14" s="506"/>
      <c r="C14" s="506"/>
      <c r="D14" s="506"/>
      <c r="E14" s="506"/>
      <c r="F14" s="506"/>
      <c r="G14" s="506"/>
      <c r="H14" s="506"/>
      <c r="I14" s="506"/>
    </row>
    <row r="15" spans="1:9" x14ac:dyDescent="0.25">
      <c r="A15" s="505"/>
      <c r="B15" s="505"/>
      <c r="C15" s="505"/>
      <c r="D15" s="505"/>
      <c r="E15" s="505"/>
      <c r="F15" s="505"/>
      <c r="G15" s="505"/>
      <c r="H15" s="505"/>
      <c r="I15" s="505"/>
    </row>
    <row r="16" spans="1:9" ht="48.75" customHeight="1" x14ac:dyDescent="0.25">
      <c r="A16" s="448" t="s">
        <v>198</v>
      </c>
      <c r="B16" s="448"/>
      <c r="C16" s="448"/>
      <c r="D16" s="448"/>
      <c r="E16" s="448"/>
      <c r="F16" s="448"/>
      <c r="G16" s="448"/>
      <c r="H16" s="448"/>
      <c r="I16" s="448"/>
    </row>
    <row r="17" spans="1:250" ht="14.25" customHeight="1" x14ac:dyDescent="0.25">
      <c r="A17" s="505"/>
      <c r="B17" s="505"/>
      <c r="C17" s="505"/>
      <c r="D17" s="505"/>
      <c r="E17" s="505"/>
      <c r="F17" s="505"/>
      <c r="G17" s="505"/>
      <c r="H17" s="505"/>
      <c r="I17" s="505"/>
    </row>
    <row r="18" spans="1:250" ht="14.25" customHeight="1" x14ac:dyDescent="0.25">
      <c r="A18" s="508" t="s">
        <v>47</v>
      </c>
      <c r="B18" s="508"/>
      <c r="C18" s="508"/>
      <c r="D18" s="508"/>
      <c r="E18" s="508"/>
      <c r="F18" s="508"/>
      <c r="G18" s="508"/>
      <c r="H18" s="508"/>
      <c r="I18" s="508"/>
    </row>
    <row r="19" spans="1:250" ht="24" customHeight="1" x14ac:dyDescent="0.25">
      <c r="A19" s="141">
        <v>1</v>
      </c>
      <c r="B19" s="448" t="s">
        <v>48</v>
      </c>
      <c r="C19" s="448"/>
      <c r="D19" s="448"/>
      <c r="E19" s="448"/>
      <c r="F19" s="448"/>
      <c r="G19" s="448"/>
      <c r="H19" s="457" t="str">
        <f>A12</f>
        <v>Vigilância e segurança armada</v>
      </c>
      <c r="I19" s="458"/>
    </row>
    <row r="20" spans="1:250" ht="18.75" customHeight="1" x14ac:dyDescent="0.25">
      <c r="A20" s="141">
        <v>2</v>
      </c>
      <c r="B20" s="448" t="s">
        <v>49</v>
      </c>
      <c r="C20" s="448"/>
      <c r="D20" s="448"/>
      <c r="E20" s="448"/>
      <c r="F20" s="448"/>
      <c r="G20" s="448"/>
      <c r="H20" s="459" t="str">
        <f>'Inserir dados na planilha'!G12</f>
        <v>5173-30</v>
      </c>
      <c r="I20" s="460"/>
      <c r="J20" s="507"/>
      <c r="K20" s="507"/>
      <c r="L20" s="507"/>
      <c r="M20" s="507"/>
      <c r="N20" s="507"/>
      <c r="O20" s="507"/>
      <c r="P20" s="507"/>
      <c r="Q20" s="507"/>
      <c r="R20" s="507"/>
      <c r="S20" s="507"/>
      <c r="T20" s="507"/>
      <c r="U20" s="507"/>
      <c r="V20" s="507"/>
      <c r="W20" s="507"/>
      <c r="X20" s="507"/>
      <c r="Y20" s="507"/>
      <c r="Z20" s="507"/>
      <c r="AA20" s="507"/>
      <c r="AB20" s="507"/>
      <c r="AC20" s="507"/>
      <c r="AD20" s="507"/>
      <c r="AE20" s="507"/>
      <c r="AF20" s="507"/>
      <c r="AG20" s="507"/>
      <c r="AH20" s="507"/>
      <c r="AI20" s="507"/>
      <c r="AJ20" s="507"/>
      <c r="AK20" s="507"/>
      <c r="AL20" s="507"/>
      <c r="AM20" s="507"/>
      <c r="AN20" s="507"/>
      <c r="AO20" s="507"/>
      <c r="AP20" s="507"/>
      <c r="AQ20" s="507"/>
      <c r="AR20" s="507"/>
      <c r="AS20" s="507"/>
      <c r="AT20" s="507"/>
      <c r="AU20" s="507"/>
      <c r="AV20" s="507"/>
      <c r="AW20" s="507"/>
      <c r="AX20" s="507"/>
      <c r="AY20" s="507"/>
      <c r="AZ20" s="507"/>
      <c r="BA20" s="507"/>
      <c r="BB20" s="507"/>
      <c r="BC20" s="507"/>
      <c r="BD20" s="507"/>
      <c r="BE20" s="507"/>
      <c r="BF20" s="507"/>
      <c r="BG20" s="507"/>
      <c r="BH20" s="507"/>
      <c r="BI20" s="507"/>
      <c r="BJ20" s="507"/>
      <c r="BK20" s="507"/>
      <c r="BL20" s="507"/>
      <c r="BM20" s="507"/>
      <c r="BN20" s="507"/>
      <c r="BO20" s="507"/>
      <c r="BP20" s="507"/>
      <c r="BQ20" s="507"/>
      <c r="BR20" s="507"/>
      <c r="BS20" s="507"/>
      <c r="BT20" s="507"/>
      <c r="BU20" s="507"/>
      <c r="BV20" s="507"/>
      <c r="BW20" s="507"/>
      <c r="BX20" s="507"/>
      <c r="BY20" s="507"/>
      <c r="BZ20" s="507"/>
      <c r="CA20" s="507"/>
      <c r="CB20" s="507"/>
      <c r="CC20" s="507"/>
      <c r="CD20" s="507"/>
      <c r="CE20" s="507"/>
      <c r="CF20" s="507"/>
      <c r="CG20" s="507"/>
      <c r="CH20" s="507"/>
      <c r="CI20" s="507"/>
      <c r="CJ20" s="507"/>
      <c r="CK20" s="507"/>
      <c r="CL20" s="507"/>
      <c r="CM20" s="507"/>
      <c r="CN20" s="507"/>
      <c r="CO20" s="507"/>
      <c r="CP20" s="507"/>
      <c r="CQ20" s="507"/>
      <c r="CR20" s="507"/>
      <c r="CS20" s="507"/>
      <c r="CT20" s="507"/>
      <c r="CU20" s="507"/>
      <c r="CV20" s="507"/>
      <c r="CW20" s="507"/>
      <c r="CX20" s="507"/>
      <c r="CY20" s="507"/>
      <c r="CZ20" s="507"/>
      <c r="DA20" s="507"/>
      <c r="DB20" s="507"/>
      <c r="DC20" s="507"/>
      <c r="DD20" s="507"/>
      <c r="DE20" s="507"/>
      <c r="DF20" s="507"/>
      <c r="DG20" s="507"/>
      <c r="DH20" s="507"/>
      <c r="DI20" s="507"/>
      <c r="DJ20" s="507"/>
      <c r="DK20" s="507"/>
      <c r="DL20" s="507"/>
      <c r="DM20" s="507"/>
      <c r="DN20" s="507"/>
      <c r="DO20" s="507"/>
      <c r="DP20" s="507"/>
      <c r="DQ20" s="507"/>
      <c r="DR20" s="507"/>
      <c r="DS20" s="507"/>
      <c r="DT20" s="507"/>
      <c r="DU20" s="507"/>
      <c r="DV20" s="507"/>
      <c r="DW20" s="507"/>
      <c r="DX20" s="507"/>
      <c r="DY20" s="507"/>
      <c r="DZ20" s="507"/>
      <c r="EA20" s="507"/>
      <c r="EB20" s="507"/>
      <c r="EC20" s="507"/>
      <c r="ED20" s="507"/>
      <c r="EE20" s="507"/>
      <c r="EF20" s="507"/>
      <c r="EG20" s="507"/>
      <c r="EH20" s="507"/>
      <c r="EI20" s="507"/>
      <c r="EJ20" s="507"/>
      <c r="EK20" s="507"/>
      <c r="EL20" s="507"/>
      <c r="EM20" s="507"/>
      <c r="EN20" s="507"/>
      <c r="EO20" s="507"/>
      <c r="EP20" s="507"/>
      <c r="EQ20" s="507"/>
      <c r="ER20" s="507"/>
      <c r="ES20" s="507"/>
      <c r="ET20" s="507"/>
      <c r="EU20" s="507"/>
      <c r="EV20" s="507"/>
      <c r="EW20" s="507"/>
      <c r="EX20" s="507"/>
      <c r="EY20" s="507"/>
      <c r="EZ20" s="507"/>
      <c r="FA20" s="507"/>
      <c r="FB20" s="507"/>
      <c r="FC20" s="507"/>
      <c r="FD20" s="507"/>
      <c r="FE20" s="507"/>
      <c r="FF20" s="507"/>
      <c r="FG20" s="507"/>
      <c r="FH20" s="507"/>
      <c r="FI20" s="507"/>
      <c r="FJ20" s="507"/>
      <c r="FK20" s="507"/>
      <c r="FL20" s="507"/>
      <c r="FM20" s="507"/>
      <c r="FN20" s="507"/>
      <c r="FO20" s="507"/>
      <c r="FP20" s="507"/>
      <c r="FQ20" s="507"/>
      <c r="FR20" s="507"/>
      <c r="FS20" s="507"/>
      <c r="FT20" s="507"/>
      <c r="FU20" s="507"/>
      <c r="FV20" s="507"/>
      <c r="FW20" s="507"/>
      <c r="FX20" s="507"/>
      <c r="FY20" s="507"/>
      <c r="FZ20" s="507"/>
      <c r="GA20" s="507"/>
      <c r="GB20" s="507"/>
      <c r="GC20" s="507"/>
      <c r="GD20" s="507"/>
      <c r="GE20" s="507"/>
      <c r="GF20" s="507"/>
      <c r="GG20" s="507"/>
      <c r="GH20" s="507"/>
      <c r="GI20" s="507"/>
      <c r="GJ20" s="507"/>
      <c r="GK20" s="507"/>
      <c r="GL20" s="507"/>
      <c r="GM20" s="507"/>
      <c r="GN20" s="507"/>
      <c r="GO20" s="507"/>
      <c r="GP20" s="507"/>
      <c r="GQ20" s="507"/>
      <c r="GR20" s="507"/>
      <c r="GS20" s="507"/>
      <c r="GT20" s="507"/>
      <c r="GU20" s="507"/>
      <c r="GV20" s="507"/>
      <c r="GW20" s="507"/>
      <c r="GX20" s="507"/>
      <c r="GY20" s="507"/>
      <c r="GZ20" s="507"/>
      <c r="HA20" s="507"/>
      <c r="HB20" s="507"/>
      <c r="HC20" s="507"/>
      <c r="HD20" s="507"/>
      <c r="HE20" s="507"/>
      <c r="HF20" s="507"/>
      <c r="HG20" s="507"/>
      <c r="HH20" s="507"/>
      <c r="HI20" s="507"/>
      <c r="HJ20" s="507"/>
      <c r="HK20" s="507"/>
      <c r="HL20" s="507"/>
      <c r="HM20" s="507"/>
      <c r="HN20" s="507"/>
      <c r="HO20" s="507"/>
      <c r="HP20" s="507"/>
      <c r="HQ20" s="507"/>
      <c r="HR20" s="507"/>
      <c r="HS20" s="507"/>
      <c r="HT20" s="507"/>
      <c r="HU20" s="507"/>
      <c r="HV20" s="507"/>
      <c r="HW20" s="507"/>
      <c r="HX20" s="507"/>
      <c r="HY20" s="507"/>
      <c r="HZ20" s="507"/>
      <c r="IA20" s="507"/>
      <c r="IB20" s="507"/>
      <c r="IC20" s="507"/>
      <c r="ID20" s="507"/>
      <c r="IE20" s="507"/>
      <c r="IF20" s="507"/>
      <c r="IG20" s="507"/>
      <c r="IH20" s="507"/>
      <c r="II20" s="507"/>
      <c r="IJ20" s="507"/>
      <c r="IK20" s="507"/>
      <c r="IL20" s="507"/>
      <c r="IM20" s="507"/>
      <c r="IN20" s="507"/>
      <c r="IO20" s="507"/>
      <c r="IP20" s="142"/>
    </row>
    <row r="21" spans="1:250" ht="13" x14ac:dyDescent="0.25">
      <c r="A21" s="141">
        <v>3</v>
      </c>
      <c r="B21" s="448" t="s">
        <v>50</v>
      </c>
      <c r="C21" s="448"/>
      <c r="D21" s="448"/>
      <c r="E21" s="448"/>
      <c r="F21" s="448"/>
      <c r="G21" s="448"/>
      <c r="H21" s="451">
        <f>'Inserir dados na planilha'!I20</f>
        <v>1757.2</v>
      </c>
      <c r="I21" s="452"/>
    </row>
    <row r="22" spans="1:250" ht="13" x14ac:dyDescent="0.25">
      <c r="A22" s="141">
        <v>4</v>
      </c>
      <c r="B22" s="448" t="s">
        <v>51</v>
      </c>
      <c r="C22" s="448"/>
      <c r="D22" s="448"/>
      <c r="E22" s="448"/>
      <c r="F22" s="448"/>
      <c r="G22" s="448"/>
      <c r="H22" s="453" t="str">
        <f>'Inserir dados na planilha'!D12</f>
        <v>Vigilante</v>
      </c>
      <c r="I22" s="454"/>
    </row>
    <row r="23" spans="1:250" ht="18" customHeight="1" x14ac:dyDescent="0.25">
      <c r="A23" s="141">
        <v>5</v>
      </c>
      <c r="B23" s="448" t="s">
        <v>52</v>
      </c>
      <c r="C23" s="448"/>
      <c r="D23" s="448"/>
      <c r="E23" s="448"/>
      <c r="F23" s="448"/>
      <c r="G23" s="448"/>
      <c r="H23" s="455">
        <f>'Inserir dados na planilha'!E14</f>
        <v>45658</v>
      </c>
      <c r="I23" s="456"/>
    </row>
    <row r="24" spans="1:250" ht="18" customHeight="1" x14ac:dyDescent="0.25">
      <c r="A24" s="141">
        <v>6</v>
      </c>
      <c r="B24" s="359" t="s">
        <v>394</v>
      </c>
      <c r="C24" s="359"/>
      <c r="D24" s="359"/>
      <c r="E24" s="359"/>
      <c r="F24" s="359"/>
      <c r="G24" s="9">
        <f>'Inserir dados na planilha'!H22</f>
        <v>0.3</v>
      </c>
      <c r="H24" s="449">
        <f>ROUNDUP(G24*H21,2)</f>
        <v>527.16</v>
      </c>
      <c r="I24" s="450"/>
    </row>
    <row r="25" spans="1:250" ht="18" customHeight="1" x14ac:dyDescent="0.25">
      <c r="A25" s="141">
        <v>7</v>
      </c>
      <c r="B25" s="448" t="s">
        <v>53</v>
      </c>
      <c r="C25" s="448"/>
      <c r="D25" s="448"/>
      <c r="E25" s="448"/>
      <c r="F25" s="448"/>
      <c r="G25" s="448"/>
      <c r="H25" s="384">
        <f>ROUNDUP(H24+H21,2)</f>
        <v>2284.36</v>
      </c>
      <c r="I25" s="384"/>
    </row>
    <row r="26" spans="1:250" ht="18" customHeight="1" x14ac:dyDescent="0.25">
      <c r="A26" s="141">
        <v>8</v>
      </c>
      <c r="B26" s="448" t="s">
        <v>54</v>
      </c>
      <c r="C26" s="448"/>
      <c r="D26" s="448"/>
      <c r="E26" s="448"/>
      <c r="F26" s="448"/>
      <c r="G26" s="448"/>
      <c r="H26" s="509">
        <f>ROUNDUP(H25/220,2)</f>
        <v>10.39</v>
      </c>
      <c r="I26" s="509"/>
    </row>
    <row r="27" spans="1:250" ht="20.9" customHeight="1" x14ac:dyDescent="0.25">
      <c r="A27" s="141">
        <v>9</v>
      </c>
      <c r="B27" s="448" t="s">
        <v>385</v>
      </c>
      <c r="C27" s="448"/>
      <c r="D27" s="448"/>
      <c r="E27" s="448"/>
      <c r="F27" s="448"/>
      <c r="G27" s="448"/>
      <c r="H27" s="509">
        <f>ROUNDUP(H26*1.6,2)</f>
        <v>16.630000000000003</v>
      </c>
      <c r="I27" s="509"/>
    </row>
    <row r="28" spans="1:250" ht="18" customHeight="1" x14ac:dyDescent="0.25">
      <c r="A28" s="141">
        <v>10</v>
      </c>
      <c r="B28" s="448" t="s">
        <v>55</v>
      </c>
      <c r="C28" s="448"/>
      <c r="D28" s="448"/>
      <c r="E28" s="448"/>
      <c r="F28" s="448"/>
      <c r="G28" s="448"/>
      <c r="H28" s="509">
        <f>ROUNDUP(H26*2,2)</f>
        <v>20.78</v>
      </c>
      <c r="I28" s="509"/>
    </row>
    <row r="29" spans="1:250" ht="18" customHeight="1" x14ac:dyDescent="0.3">
      <c r="A29" s="141">
        <v>11</v>
      </c>
      <c r="B29" s="448" t="s">
        <v>56</v>
      </c>
      <c r="C29" s="448"/>
      <c r="D29" s="448"/>
      <c r="E29" s="448"/>
      <c r="F29" s="448"/>
      <c r="G29" s="448"/>
      <c r="H29" s="511">
        <f>ROUNDUP((H21+H24+H34)/220,2)</f>
        <v>11.879999999999999</v>
      </c>
      <c r="I29" s="511"/>
    </row>
    <row r="30" spans="1:250" ht="13" x14ac:dyDescent="0.25">
      <c r="A30" s="141">
        <v>12</v>
      </c>
      <c r="B30" s="448" t="s">
        <v>396</v>
      </c>
      <c r="C30" s="448"/>
      <c r="D30" s="448"/>
      <c r="E30" s="448"/>
      <c r="F30" s="448"/>
      <c r="G30" s="448"/>
      <c r="H30" s="509">
        <f>ROUNDUP(H26*0.3,2)</f>
        <v>3.1199999999999997</v>
      </c>
      <c r="I30" s="509"/>
    </row>
    <row r="31" spans="1:250" ht="13" x14ac:dyDescent="0.25">
      <c r="A31" s="141">
        <v>13</v>
      </c>
      <c r="B31" s="448" t="s">
        <v>58</v>
      </c>
      <c r="C31" s="448"/>
      <c r="D31" s="448"/>
      <c r="E31" s="448"/>
      <c r="F31" s="448"/>
      <c r="G31" s="448"/>
      <c r="H31" s="509">
        <f>H26+H30</f>
        <v>13.51</v>
      </c>
      <c r="I31" s="509"/>
    </row>
    <row r="32" spans="1:250" ht="32.25" customHeight="1" x14ac:dyDescent="0.25">
      <c r="A32" s="141">
        <v>14</v>
      </c>
      <c r="B32" s="448" t="s">
        <v>386</v>
      </c>
      <c r="C32" s="448"/>
      <c r="D32" s="448"/>
      <c r="E32" s="448"/>
      <c r="F32" s="448"/>
      <c r="G32" s="448"/>
      <c r="H32" s="510">
        <f>ROUNDUP(H31*1.6,2)</f>
        <v>21.62</v>
      </c>
      <c r="I32" s="510"/>
    </row>
    <row r="33" spans="1:250" ht="23.5" customHeight="1" x14ac:dyDescent="0.25">
      <c r="A33" s="141">
        <v>15</v>
      </c>
      <c r="B33" s="448" t="s">
        <v>59</v>
      </c>
      <c r="C33" s="448"/>
      <c r="D33" s="448"/>
      <c r="E33" s="448"/>
      <c r="F33" s="448"/>
      <c r="G33" s="448"/>
      <c r="H33" s="510">
        <f>ROUNDUP(H31*2,2)</f>
        <v>27.02</v>
      </c>
      <c r="I33" s="510"/>
    </row>
    <row r="34" spans="1:250" ht="18" customHeight="1" x14ac:dyDescent="0.25">
      <c r="A34" s="141">
        <v>16</v>
      </c>
      <c r="B34" s="448" t="s">
        <v>395</v>
      </c>
      <c r="C34" s="448"/>
      <c r="D34" s="448"/>
      <c r="E34" s="448"/>
      <c r="F34" s="448"/>
      <c r="G34" s="448"/>
      <c r="H34" s="510">
        <f>ROUNDUP(H26*0.3*15*7,2)</f>
        <v>327.28999999999996</v>
      </c>
      <c r="I34" s="510"/>
    </row>
    <row r="35" spans="1:250" ht="18" customHeight="1" x14ac:dyDescent="0.25">
      <c r="A35" s="141">
        <v>17</v>
      </c>
      <c r="B35" s="448" t="s">
        <v>387</v>
      </c>
      <c r="C35" s="448"/>
      <c r="D35" s="448"/>
      <c r="E35" s="448"/>
      <c r="F35" s="448"/>
      <c r="G35" s="448"/>
      <c r="H35" s="510">
        <f>ROUNDUP(H29*1.6*15,2)</f>
        <v>285.12</v>
      </c>
      <c r="I35" s="510"/>
    </row>
    <row r="36" spans="1:250" ht="18" customHeight="1" x14ac:dyDescent="0.25">
      <c r="A36" s="141">
        <v>19</v>
      </c>
      <c r="B36" s="448" t="s">
        <v>397</v>
      </c>
      <c r="C36" s="448"/>
      <c r="D36" s="448"/>
      <c r="E36" s="448"/>
      <c r="F36" s="448"/>
      <c r="G36" s="448"/>
      <c r="H36" s="510">
        <f>ROUNDUP(H26*1.6*15,2)</f>
        <v>249.36</v>
      </c>
      <c r="I36" s="510"/>
    </row>
    <row r="37" spans="1:250" ht="18" customHeight="1" x14ac:dyDescent="0.25">
      <c r="A37" s="141">
        <v>20</v>
      </c>
      <c r="B37" s="448" t="s">
        <v>63</v>
      </c>
      <c r="C37" s="448"/>
      <c r="D37" s="448"/>
      <c r="E37" s="448"/>
      <c r="F37" s="448"/>
      <c r="G37" s="448"/>
      <c r="H37" s="512">
        <v>2</v>
      </c>
      <c r="I37" s="512"/>
    </row>
    <row r="38" spans="1:250" x14ac:dyDescent="0.25">
      <c r="A38" s="505"/>
      <c r="B38" s="505"/>
      <c r="C38" s="505"/>
      <c r="D38" s="505"/>
      <c r="E38" s="505"/>
      <c r="F38" s="505"/>
      <c r="G38" s="505"/>
      <c r="H38" s="505"/>
      <c r="I38" s="505"/>
    </row>
    <row r="39" spans="1:250" x14ac:dyDescent="0.25">
      <c r="A39" s="513"/>
      <c r="B39" s="513"/>
      <c r="C39" s="513"/>
      <c r="D39" s="513"/>
      <c r="E39" s="513"/>
      <c r="F39" s="513"/>
      <c r="G39" s="513"/>
      <c r="H39" s="513"/>
      <c r="I39" s="513"/>
    </row>
    <row r="40" spans="1:250" ht="14.25" customHeight="1" x14ac:dyDescent="0.25">
      <c r="A40" s="505"/>
      <c r="B40" s="505"/>
      <c r="C40" s="505"/>
      <c r="D40" s="505"/>
      <c r="E40" s="505"/>
      <c r="F40" s="505"/>
      <c r="G40" s="505"/>
      <c r="H40" s="505"/>
      <c r="I40" s="505"/>
    </row>
    <row r="41" spans="1:250" ht="17.25" customHeight="1" x14ac:dyDescent="0.25">
      <c r="A41" s="448" t="s">
        <v>64</v>
      </c>
      <c r="B41" s="448"/>
      <c r="C41" s="448"/>
      <c r="D41" s="448"/>
      <c r="E41" s="448"/>
      <c r="F41" s="448"/>
      <c r="G41" s="448"/>
      <c r="H41" s="448"/>
      <c r="I41" s="448"/>
    </row>
    <row r="42" spans="1:250" ht="38.25" customHeight="1" x14ac:dyDescent="0.25">
      <c r="A42" s="143">
        <v>1</v>
      </c>
      <c r="B42" s="515" t="s">
        <v>65</v>
      </c>
      <c r="C42" s="515"/>
      <c r="D42" s="515"/>
      <c r="E42" s="515"/>
      <c r="F42" s="515"/>
      <c r="G42" s="515"/>
      <c r="H42" s="143" t="s">
        <v>66</v>
      </c>
      <c r="I42" s="143" t="s">
        <v>67</v>
      </c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44"/>
      <c r="CI42" s="144"/>
      <c r="CJ42" s="144"/>
      <c r="CK42" s="144"/>
      <c r="CL42" s="144"/>
      <c r="CM42" s="144"/>
      <c r="CN42" s="144"/>
      <c r="CO42" s="144"/>
      <c r="CP42" s="144"/>
      <c r="CQ42" s="144"/>
      <c r="CR42" s="144"/>
      <c r="CS42" s="144"/>
      <c r="CT42" s="144"/>
      <c r="CU42" s="144"/>
      <c r="CV42" s="144"/>
      <c r="CW42" s="144"/>
      <c r="CX42" s="144"/>
      <c r="CY42" s="144"/>
      <c r="CZ42" s="144"/>
      <c r="DA42" s="144"/>
      <c r="DB42" s="144"/>
      <c r="DC42" s="144"/>
      <c r="DD42" s="144"/>
      <c r="DE42" s="144"/>
      <c r="DF42" s="144"/>
      <c r="DG42" s="144"/>
      <c r="DH42" s="144"/>
      <c r="DI42" s="144"/>
      <c r="DJ42" s="144"/>
      <c r="DK42" s="144"/>
      <c r="DL42" s="144"/>
      <c r="DM42" s="144"/>
      <c r="DN42" s="144"/>
      <c r="DO42" s="144"/>
      <c r="DP42" s="144"/>
      <c r="DQ42" s="144"/>
      <c r="DR42" s="144"/>
      <c r="DS42" s="144"/>
      <c r="DT42" s="144"/>
      <c r="DU42" s="144"/>
      <c r="DV42" s="144"/>
      <c r="DW42" s="144"/>
      <c r="DX42" s="144"/>
      <c r="DY42" s="144"/>
      <c r="DZ42" s="144"/>
      <c r="EA42" s="144"/>
      <c r="EB42" s="144"/>
      <c r="EC42" s="144"/>
      <c r="ED42" s="144"/>
      <c r="EE42" s="144"/>
      <c r="EF42" s="144"/>
      <c r="EG42" s="144"/>
      <c r="EH42" s="144"/>
      <c r="EI42" s="144"/>
      <c r="EJ42" s="144"/>
      <c r="EK42" s="144"/>
      <c r="EL42" s="144"/>
      <c r="EM42" s="144"/>
      <c r="EN42" s="144"/>
      <c r="EO42" s="144"/>
      <c r="EP42" s="144"/>
      <c r="EQ42" s="144"/>
      <c r="ER42" s="144"/>
      <c r="ES42" s="144"/>
      <c r="ET42" s="144"/>
      <c r="EU42" s="144"/>
      <c r="EV42" s="144"/>
      <c r="EW42" s="144"/>
      <c r="EX42" s="144"/>
      <c r="EY42" s="144"/>
      <c r="EZ42" s="144"/>
      <c r="FA42" s="144"/>
      <c r="FB42" s="144"/>
      <c r="FC42" s="144"/>
      <c r="FD42" s="144"/>
      <c r="FE42" s="144"/>
      <c r="FF42" s="144"/>
      <c r="FG42" s="144"/>
      <c r="FH42" s="144"/>
      <c r="FI42" s="144"/>
      <c r="FJ42" s="144"/>
      <c r="FK42" s="144"/>
      <c r="FL42" s="144"/>
      <c r="FM42" s="144"/>
      <c r="FN42" s="144"/>
      <c r="FO42" s="144"/>
      <c r="FP42" s="144"/>
      <c r="FQ42" s="144"/>
      <c r="FR42" s="144"/>
      <c r="FS42" s="144"/>
      <c r="FT42" s="144"/>
      <c r="FU42" s="144"/>
      <c r="FV42" s="144"/>
      <c r="FW42" s="144"/>
      <c r="FX42" s="144"/>
      <c r="FY42" s="144"/>
      <c r="FZ42" s="144"/>
      <c r="GA42" s="144"/>
      <c r="GB42" s="144"/>
      <c r="GC42" s="144"/>
      <c r="GD42" s="144"/>
      <c r="GE42" s="144"/>
      <c r="GF42" s="144"/>
      <c r="GG42" s="144"/>
      <c r="GH42" s="144"/>
      <c r="GI42" s="144"/>
      <c r="GJ42" s="144"/>
      <c r="GK42" s="144"/>
      <c r="GL42" s="144"/>
      <c r="GM42" s="144"/>
      <c r="GN42" s="144"/>
      <c r="GO42" s="144"/>
      <c r="GP42" s="144"/>
      <c r="GQ42" s="144"/>
      <c r="GR42" s="144"/>
      <c r="GS42" s="144"/>
      <c r="GT42" s="144"/>
      <c r="GU42" s="144"/>
      <c r="GV42" s="144"/>
      <c r="GW42" s="144"/>
      <c r="GX42" s="144"/>
      <c r="GY42" s="144"/>
      <c r="GZ42" s="144"/>
      <c r="HA42" s="144"/>
      <c r="HB42" s="144"/>
      <c r="HC42" s="144"/>
      <c r="HD42" s="144"/>
      <c r="HE42" s="144"/>
      <c r="HF42" s="144"/>
      <c r="HG42" s="144"/>
      <c r="HH42" s="144"/>
      <c r="HI42" s="144"/>
      <c r="HJ42" s="144"/>
      <c r="HK42" s="144"/>
      <c r="HL42" s="144"/>
      <c r="HM42" s="144"/>
      <c r="HN42" s="144"/>
      <c r="HO42" s="144"/>
      <c r="HP42" s="144"/>
      <c r="HQ42" s="144"/>
      <c r="HR42" s="144"/>
      <c r="HS42" s="144"/>
      <c r="HT42" s="144"/>
      <c r="HU42" s="144"/>
      <c r="HV42" s="144"/>
      <c r="HW42" s="144"/>
      <c r="HX42" s="144"/>
      <c r="HY42" s="144"/>
      <c r="HZ42" s="144"/>
      <c r="IA42" s="144"/>
      <c r="IB42" s="144"/>
      <c r="IC42" s="144"/>
      <c r="ID42" s="144"/>
      <c r="IE42" s="144"/>
      <c r="IF42" s="144"/>
      <c r="IG42" s="144"/>
      <c r="IH42" s="144"/>
      <c r="II42" s="144"/>
      <c r="IJ42" s="144"/>
      <c r="IK42" s="144"/>
      <c r="IL42" s="144"/>
      <c r="IM42" s="144"/>
      <c r="IN42" s="144"/>
      <c r="IO42" s="144"/>
      <c r="IP42" s="144"/>
    </row>
    <row r="43" spans="1:250" ht="13" x14ac:dyDescent="0.25">
      <c r="A43" s="141" t="s">
        <v>34</v>
      </c>
      <c r="B43" s="448" t="s">
        <v>192</v>
      </c>
      <c r="C43" s="448"/>
      <c r="D43" s="448"/>
      <c r="E43" s="448"/>
      <c r="F43" s="448"/>
      <c r="G43" s="448"/>
      <c r="H43" s="145">
        <v>1</v>
      </c>
      <c r="I43" s="146">
        <f>ROUNDUP(H21*H37,2)</f>
        <v>3514.4</v>
      </c>
    </row>
    <row r="44" spans="1:250" ht="13" x14ac:dyDescent="0.25">
      <c r="A44" s="141" t="s">
        <v>36</v>
      </c>
      <c r="B44" s="448" t="s">
        <v>193</v>
      </c>
      <c r="C44" s="448"/>
      <c r="D44" s="448"/>
      <c r="E44" s="448"/>
      <c r="F44" s="448"/>
      <c r="G44" s="448"/>
      <c r="H44" s="145">
        <v>0.3</v>
      </c>
      <c r="I44" s="146">
        <f>ROUNDUP(H24*H37,2)</f>
        <v>1054.32</v>
      </c>
    </row>
    <row r="45" spans="1:250" ht="13" x14ac:dyDescent="0.25">
      <c r="A45" s="141" t="s">
        <v>38</v>
      </c>
      <c r="B45" s="448" t="s">
        <v>194</v>
      </c>
      <c r="C45" s="448"/>
      <c r="D45" s="448"/>
      <c r="E45" s="448"/>
      <c r="F45" s="448"/>
      <c r="G45" s="448"/>
      <c r="H45" s="145"/>
      <c r="I45" s="147">
        <f>ROUNDUP(H34*H37,2)</f>
        <v>654.58000000000004</v>
      </c>
    </row>
    <row r="46" spans="1:250" ht="13" x14ac:dyDescent="0.25">
      <c r="A46" s="141" t="s">
        <v>40</v>
      </c>
      <c r="B46" s="448" t="s">
        <v>373</v>
      </c>
      <c r="C46" s="448"/>
      <c r="D46" s="448"/>
      <c r="E46" s="448"/>
      <c r="F46" s="448"/>
      <c r="G46" s="448"/>
      <c r="H46" s="145"/>
      <c r="I46" s="147">
        <f>ROUNDUP(H35*H37,2)</f>
        <v>570.24</v>
      </c>
    </row>
    <row r="47" spans="1:250" ht="13" x14ac:dyDescent="0.25">
      <c r="A47" s="141" t="s">
        <v>73</v>
      </c>
      <c r="B47" s="448" t="s">
        <v>74</v>
      </c>
      <c r="C47" s="448"/>
      <c r="D47" s="448"/>
      <c r="E47" s="448"/>
      <c r="F47" s="448"/>
      <c r="G47" s="448"/>
      <c r="H47" s="448"/>
      <c r="I47" s="146"/>
    </row>
    <row r="48" spans="1:250" ht="15.75" customHeight="1" x14ac:dyDescent="0.25">
      <c r="A48" s="514" t="s">
        <v>75</v>
      </c>
      <c r="B48" s="514"/>
      <c r="C48" s="514"/>
      <c r="D48" s="514"/>
      <c r="E48" s="514"/>
      <c r="F48" s="514"/>
      <c r="G48" s="514"/>
      <c r="H48" s="514"/>
      <c r="I48" s="148">
        <f>TRUNC(SUM(I43:I47),2)</f>
        <v>5793.54</v>
      </c>
    </row>
    <row r="49" spans="1:9" ht="15.75" customHeight="1" x14ac:dyDescent="0.25">
      <c r="A49" s="505"/>
      <c r="B49" s="505"/>
      <c r="C49" s="505"/>
      <c r="D49" s="505"/>
      <c r="E49" s="505"/>
      <c r="F49" s="505"/>
      <c r="G49" s="505"/>
      <c r="H49" s="505"/>
      <c r="I49" s="505"/>
    </row>
    <row r="50" spans="1:9" ht="13" x14ac:dyDescent="0.25">
      <c r="A50" s="141" t="s">
        <v>76</v>
      </c>
      <c r="B50" s="448" t="s">
        <v>196</v>
      </c>
      <c r="C50" s="448"/>
      <c r="D50" s="448"/>
      <c r="E50" s="448"/>
      <c r="F50" s="448"/>
      <c r="G50" s="448"/>
      <c r="H50" s="448"/>
      <c r="I50" s="146">
        <v>0</v>
      </c>
    </row>
    <row r="51" spans="1:9" ht="42" customHeight="1" x14ac:dyDescent="0.25">
      <c r="A51" s="508" t="s">
        <v>78</v>
      </c>
      <c r="B51" s="508"/>
      <c r="C51" s="508"/>
      <c r="D51" s="508"/>
      <c r="E51" s="508"/>
      <c r="F51" s="508"/>
      <c r="G51" s="508"/>
      <c r="H51" s="508"/>
      <c r="I51" s="148">
        <f>I50</f>
        <v>0</v>
      </c>
    </row>
    <row r="52" spans="1:9" x14ac:dyDescent="0.25">
      <c r="A52" s="505"/>
      <c r="B52" s="505"/>
      <c r="C52" s="505"/>
      <c r="D52" s="505"/>
      <c r="E52" s="505"/>
      <c r="F52" s="505"/>
      <c r="G52" s="505"/>
      <c r="H52" s="505"/>
      <c r="I52" s="505"/>
    </row>
    <row r="53" spans="1:9" ht="13.5" customHeight="1" x14ac:dyDescent="0.25">
      <c r="A53" s="514" t="s">
        <v>79</v>
      </c>
      <c r="B53" s="514"/>
      <c r="C53" s="514"/>
      <c r="D53" s="514"/>
      <c r="E53" s="514"/>
      <c r="F53" s="514"/>
      <c r="G53" s="514"/>
      <c r="H53" s="514"/>
      <c r="I53" s="148">
        <f>I48+I51</f>
        <v>5793.54</v>
      </c>
    </row>
    <row r="54" spans="1:9" ht="13.5" customHeight="1" x14ac:dyDescent="0.25">
      <c r="A54" s="505"/>
      <c r="B54" s="505"/>
      <c r="C54" s="505"/>
      <c r="D54" s="505"/>
      <c r="E54" s="505"/>
      <c r="F54" s="505"/>
      <c r="G54" s="505"/>
      <c r="H54" s="505"/>
      <c r="I54" s="505"/>
    </row>
    <row r="55" spans="1:9" x14ac:dyDescent="0.25">
      <c r="A55" s="521"/>
      <c r="B55" s="521"/>
      <c r="C55" s="521"/>
      <c r="D55" s="521"/>
      <c r="E55" s="521"/>
      <c r="F55" s="521"/>
      <c r="G55" s="521"/>
      <c r="H55" s="521"/>
      <c r="I55" s="521"/>
    </row>
    <row r="56" spans="1:9" ht="14.25" customHeight="1" x14ac:dyDescent="0.25">
      <c r="A56" s="505"/>
      <c r="B56" s="505"/>
      <c r="C56" s="505"/>
      <c r="D56" s="505"/>
      <c r="E56" s="505"/>
      <c r="F56" s="505"/>
      <c r="G56" s="505"/>
      <c r="H56" s="505"/>
      <c r="I56" s="505"/>
    </row>
    <row r="57" spans="1:9" ht="13" x14ac:dyDescent="0.25">
      <c r="A57" s="517" t="s">
        <v>80</v>
      </c>
      <c r="B57" s="517"/>
      <c r="C57" s="517"/>
      <c r="D57" s="517"/>
      <c r="E57" s="517"/>
      <c r="F57" s="517"/>
      <c r="G57" s="517"/>
      <c r="H57" s="517"/>
      <c r="I57" s="517"/>
    </row>
    <row r="58" spans="1:9" ht="13" x14ac:dyDescent="0.25">
      <c r="A58" s="516" t="s">
        <v>81</v>
      </c>
      <c r="B58" s="516"/>
      <c r="C58" s="516"/>
      <c r="D58" s="516"/>
      <c r="E58" s="516"/>
      <c r="F58" s="516"/>
      <c r="G58" s="516"/>
      <c r="H58" s="516"/>
      <c r="I58" s="516"/>
    </row>
    <row r="59" spans="1:9" ht="13" x14ac:dyDescent="0.25">
      <c r="A59" s="149" t="s">
        <v>82</v>
      </c>
      <c r="B59" s="517" t="s">
        <v>200</v>
      </c>
      <c r="C59" s="517"/>
      <c r="D59" s="517"/>
      <c r="E59" s="517"/>
      <c r="F59" s="517"/>
      <c r="G59" s="517"/>
      <c r="H59" s="141" t="s">
        <v>84</v>
      </c>
      <c r="I59" s="141" t="s">
        <v>85</v>
      </c>
    </row>
    <row r="60" spans="1:9" ht="13.5" customHeight="1" x14ac:dyDescent="0.25">
      <c r="A60" s="149" t="s">
        <v>34</v>
      </c>
      <c r="B60" s="518" t="s">
        <v>86</v>
      </c>
      <c r="C60" s="518"/>
      <c r="D60" s="518"/>
      <c r="E60" s="518"/>
      <c r="F60" s="518"/>
      <c r="G60" s="518"/>
      <c r="H60" s="150">
        <v>8.3299999999999999E-2</v>
      </c>
      <c r="I60" s="21">
        <f>ROUNDUP($I$48*H60,2)</f>
        <v>482.61</v>
      </c>
    </row>
    <row r="61" spans="1:9" ht="13.5" customHeight="1" x14ac:dyDescent="0.25">
      <c r="A61" s="149" t="s">
        <v>36</v>
      </c>
      <c r="B61" s="519" t="s">
        <v>87</v>
      </c>
      <c r="C61" s="519"/>
      <c r="D61" s="519"/>
      <c r="E61" s="519"/>
      <c r="F61" s="519"/>
      <c r="G61" s="519"/>
      <c r="H61" s="151">
        <v>3.0249999999999999E-2</v>
      </c>
      <c r="I61" s="21">
        <f>ROUNDUP($I$48*H61,2)</f>
        <v>175.26</v>
      </c>
    </row>
    <row r="62" spans="1:9" ht="13" x14ac:dyDescent="0.25">
      <c r="A62" s="520" t="s">
        <v>75</v>
      </c>
      <c r="B62" s="520"/>
      <c r="C62" s="520"/>
      <c r="D62" s="520"/>
      <c r="E62" s="520"/>
      <c r="F62" s="520"/>
      <c r="G62" s="520"/>
      <c r="H62" s="520"/>
      <c r="I62" s="152">
        <f>TRUNC(SUM(I60:I61),2)</f>
        <v>657.87</v>
      </c>
    </row>
    <row r="63" spans="1:9" x14ac:dyDescent="0.25">
      <c r="A63" s="505"/>
      <c r="B63" s="505"/>
      <c r="C63" s="505"/>
      <c r="D63" s="505"/>
      <c r="E63" s="505"/>
      <c r="F63" s="505"/>
      <c r="G63" s="505"/>
      <c r="H63" s="505"/>
      <c r="I63" s="505"/>
    </row>
    <row r="64" spans="1:9" x14ac:dyDescent="0.25">
      <c r="A64" s="506"/>
      <c r="B64" s="506"/>
      <c r="C64" s="506"/>
      <c r="D64" s="506"/>
      <c r="E64" s="506"/>
      <c r="F64" s="506"/>
      <c r="G64" s="506"/>
      <c r="H64" s="506"/>
      <c r="I64" s="506"/>
    </row>
    <row r="65" spans="1:9" ht="14.25" customHeight="1" x14ac:dyDescent="0.25">
      <c r="A65" s="505"/>
      <c r="B65" s="505"/>
      <c r="C65" s="505"/>
      <c r="D65" s="505"/>
      <c r="E65" s="505"/>
      <c r="F65" s="505"/>
      <c r="G65" s="505"/>
      <c r="H65" s="505"/>
      <c r="I65" s="505"/>
    </row>
    <row r="66" spans="1:9" ht="30" customHeight="1" x14ac:dyDescent="0.25">
      <c r="A66" s="518" t="s">
        <v>201</v>
      </c>
      <c r="B66" s="518"/>
      <c r="C66" s="518"/>
      <c r="D66" s="518"/>
      <c r="E66" s="518"/>
      <c r="F66" s="518"/>
      <c r="G66" s="518"/>
      <c r="H66" s="518"/>
      <c r="I66" s="518"/>
    </row>
    <row r="67" spans="1:9" ht="30" customHeight="1" x14ac:dyDescent="0.25">
      <c r="A67" s="153" t="s">
        <v>89</v>
      </c>
      <c r="B67" s="515" t="s">
        <v>90</v>
      </c>
      <c r="C67" s="515"/>
      <c r="D67" s="515"/>
      <c r="E67" s="515"/>
      <c r="F67" s="515"/>
      <c r="G67" s="515"/>
      <c r="H67" s="154" t="s">
        <v>84</v>
      </c>
      <c r="I67" s="154" t="s">
        <v>67</v>
      </c>
    </row>
    <row r="68" spans="1:9" ht="14.25" customHeight="1" x14ac:dyDescent="0.25">
      <c r="A68" s="155" t="s">
        <v>34</v>
      </c>
      <c r="B68" s="443" t="s">
        <v>91</v>
      </c>
      <c r="C68" s="444"/>
      <c r="D68" s="444"/>
      <c r="E68" s="444"/>
      <c r="F68" s="444"/>
      <c r="G68" s="445"/>
      <c r="H68" s="213">
        <f>'Inserir dados na planilha'!I26</f>
        <v>0.2</v>
      </c>
      <c r="I68" s="16">
        <f t="shared" ref="I68:I75" si="0">ROUNDUP(($I$48+$I$62)*H68,2)</f>
        <v>1290.29</v>
      </c>
    </row>
    <row r="69" spans="1:9" ht="14.25" customHeight="1" x14ac:dyDescent="0.25">
      <c r="A69" s="155" t="s">
        <v>36</v>
      </c>
      <c r="B69" s="443" t="s">
        <v>92</v>
      </c>
      <c r="C69" s="444"/>
      <c r="D69" s="444"/>
      <c r="E69" s="444"/>
      <c r="F69" s="444"/>
      <c r="G69" s="445"/>
      <c r="H69" s="213">
        <f>'Inserir dados na planilha'!I27</f>
        <v>2.5000000000000001E-2</v>
      </c>
      <c r="I69" s="16">
        <f t="shared" si="0"/>
        <v>161.29</v>
      </c>
    </row>
    <row r="70" spans="1:9" ht="80.25" customHeight="1" x14ac:dyDescent="0.25">
      <c r="A70" s="155" t="s">
        <v>38</v>
      </c>
      <c r="B70" s="443" t="s">
        <v>93</v>
      </c>
      <c r="C70" s="445"/>
      <c r="D70" s="260" t="s">
        <v>94</v>
      </c>
      <c r="E70" s="261">
        <f>'Inserir dados na planilha'!I28</f>
        <v>0.03</v>
      </c>
      <c r="F70" s="260" t="s">
        <v>95</v>
      </c>
      <c r="G70" s="268">
        <f>'Inserir dados na planilha'!I29</f>
        <v>2</v>
      </c>
      <c r="H70" s="269">
        <f>ROUND((E70*G70),6)</f>
        <v>0.06</v>
      </c>
      <c r="I70" s="16">
        <f t="shared" si="0"/>
        <v>387.09</v>
      </c>
    </row>
    <row r="71" spans="1:9" ht="14.25" customHeight="1" x14ac:dyDescent="0.25">
      <c r="A71" s="155" t="s">
        <v>40</v>
      </c>
      <c r="B71" s="443" t="s">
        <v>96</v>
      </c>
      <c r="C71" s="444"/>
      <c r="D71" s="444"/>
      <c r="E71" s="444"/>
      <c r="F71" s="444"/>
      <c r="G71" s="445"/>
      <c r="H71" s="213">
        <f>'Inserir dados na planilha'!I30</f>
        <v>1.4999999999999999E-2</v>
      </c>
      <c r="I71" s="16">
        <f t="shared" si="0"/>
        <v>96.78</v>
      </c>
    </row>
    <row r="72" spans="1:9" ht="14.25" customHeight="1" x14ac:dyDescent="0.25">
      <c r="A72" s="155" t="s">
        <v>73</v>
      </c>
      <c r="B72" s="443" t="s">
        <v>97</v>
      </c>
      <c r="C72" s="444"/>
      <c r="D72" s="444"/>
      <c r="E72" s="444"/>
      <c r="F72" s="444"/>
      <c r="G72" s="445"/>
      <c r="H72" s="213">
        <f>'Inserir dados na planilha'!I31</f>
        <v>0.01</v>
      </c>
      <c r="I72" s="16">
        <f t="shared" si="0"/>
        <v>64.52000000000001</v>
      </c>
    </row>
    <row r="73" spans="1:9" ht="14.25" customHeight="1" x14ac:dyDescent="0.25">
      <c r="A73" s="155" t="s">
        <v>76</v>
      </c>
      <c r="B73" s="443" t="s">
        <v>98</v>
      </c>
      <c r="C73" s="444"/>
      <c r="D73" s="444"/>
      <c r="E73" s="444"/>
      <c r="F73" s="444"/>
      <c r="G73" s="445"/>
      <c r="H73" s="213">
        <f>'Inserir dados na planilha'!I32</f>
        <v>6.0000000000000001E-3</v>
      </c>
      <c r="I73" s="16">
        <f t="shared" si="0"/>
        <v>38.71</v>
      </c>
    </row>
    <row r="74" spans="1:9" ht="14.25" customHeight="1" x14ac:dyDescent="0.25">
      <c r="A74" s="155" t="s">
        <v>99</v>
      </c>
      <c r="B74" s="443" t="s">
        <v>100</v>
      </c>
      <c r="C74" s="444"/>
      <c r="D74" s="444"/>
      <c r="E74" s="444"/>
      <c r="F74" s="444"/>
      <c r="G74" s="445"/>
      <c r="H74" s="213">
        <f>'Inserir dados na planilha'!I33</f>
        <v>2E-3</v>
      </c>
      <c r="I74" s="16">
        <f t="shared" si="0"/>
        <v>12.91</v>
      </c>
    </row>
    <row r="75" spans="1:9" ht="14.25" customHeight="1" x14ac:dyDescent="0.25">
      <c r="A75" s="155" t="s">
        <v>101</v>
      </c>
      <c r="B75" s="448" t="s">
        <v>102</v>
      </c>
      <c r="C75" s="448"/>
      <c r="D75" s="448"/>
      <c r="E75" s="448"/>
      <c r="F75" s="448"/>
      <c r="G75" s="448"/>
      <c r="H75" s="156">
        <v>0.08</v>
      </c>
      <c r="I75" s="16">
        <f t="shared" si="0"/>
        <v>516.12</v>
      </c>
    </row>
    <row r="76" spans="1:9" ht="13" x14ac:dyDescent="0.25">
      <c r="A76" s="520" t="s">
        <v>75</v>
      </c>
      <c r="B76" s="520"/>
      <c r="C76" s="520"/>
      <c r="D76" s="520"/>
      <c r="E76" s="520"/>
      <c r="F76" s="520"/>
      <c r="G76" s="520"/>
      <c r="H76" s="157">
        <f>SUM(H68:H75)</f>
        <v>0.39800000000000008</v>
      </c>
      <c r="I76" s="158">
        <f>TRUNC(SUM(I68:I75),2)</f>
        <v>2567.71</v>
      </c>
    </row>
    <row r="77" spans="1:9" ht="13" x14ac:dyDescent="0.25">
      <c r="A77" s="159"/>
      <c r="B77" s="160"/>
      <c r="C77" s="160"/>
      <c r="D77" s="160"/>
      <c r="E77" s="160"/>
      <c r="F77" s="160"/>
      <c r="G77" s="160"/>
      <c r="H77" s="161"/>
      <c r="I77" s="162"/>
    </row>
    <row r="78" spans="1:9" x14ac:dyDescent="0.25">
      <c r="A78" s="506"/>
      <c r="B78" s="506"/>
      <c r="C78" s="506"/>
      <c r="D78" s="506"/>
      <c r="E78" s="506"/>
      <c r="F78" s="506"/>
      <c r="G78" s="506"/>
      <c r="H78" s="506"/>
      <c r="I78" s="506"/>
    </row>
    <row r="79" spans="1:9" x14ac:dyDescent="0.25">
      <c r="A79" s="505"/>
      <c r="B79" s="505"/>
      <c r="C79" s="505"/>
      <c r="D79" s="505"/>
      <c r="E79" s="505"/>
      <c r="F79" s="505"/>
      <c r="G79" s="505"/>
      <c r="H79" s="505"/>
      <c r="I79" s="505"/>
    </row>
    <row r="80" spans="1:9" ht="13" x14ac:dyDescent="0.25">
      <c r="A80" s="517" t="s">
        <v>103</v>
      </c>
      <c r="B80" s="517"/>
      <c r="C80" s="517"/>
      <c r="D80" s="517"/>
      <c r="E80" s="517"/>
      <c r="F80" s="517"/>
      <c r="G80" s="517"/>
      <c r="H80" s="517"/>
      <c r="I80" s="517"/>
    </row>
    <row r="81" spans="1:9" ht="15.75" customHeight="1" x14ac:dyDescent="0.25">
      <c r="A81" s="163" t="s">
        <v>104</v>
      </c>
      <c r="B81" s="515" t="s">
        <v>105</v>
      </c>
      <c r="C81" s="515"/>
      <c r="D81" s="515"/>
      <c r="E81" s="515"/>
      <c r="F81" s="515"/>
      <c r="G81" s="515"/>
      <c r="H81" s="515"/>
      <c r="I81" s="154" t="s">
        <v>85</v>
      </c>
    </row>
    <row r="82" spans="1:9" ht="14.25" customHeight="1" x14ac:dyDescent="0.25">
      <c r="A82" s="149" t="s">
        <v>34</v>
      </c>
      <c r="B82" s="443" t="s">
        <v>106</v>
      </c>
      <c r="C82" s="444"/>
      <c r="D82" s="444"/>
      <c r="E82" s="444"/>
      <c r="F82" s="444"/>
      <c r="G82" s="444"/>
      <c r="H82" s="445"/>
      <c r="I82" s="290">
        <f>IF(((H83*H84*H85)-(H21*H86))&lt;0,0,((H83*H84*H85)-(H21*H86))*H37)</f>
        <v>29.135999999999996</v>
      </c>
    </row>
    <row r="83" spans="1:9" ht="25.5" customHeight="1" x14ac:dyDescent="0.25">
      <c r="A83" s="149"/>
      <c r="B83" s="522" t="s">
        <v>377</v>
      </c>
      <c r="C83" s="523"/>
      <c r="D83" s="523"/>
      <c r="E83" s="523"/>
      <c r="F83" s="523"/>
      <c r="G83" s="524"/>
      <c r="H83" s="262">
        <v>4</v>
      </c>
      <c r="I83" s="250"/>
    </row>
    <row r="84" spans="1:9" ht="14.25" customHeight="1" x14ac:dyDescent="0.25">
      <c r="A84" s="149"/>
      <c r="B84" s="525" t="s">
        <v>108</v>
      </c>
      <c r="C84" s="526"/>
      <c r="D84" s="526"/>
      <c r="E84" s="526"/>
      <c r="F84" s="526"/>
      <c r="G84" s="527"/>
      <c r="H84" s="251">
        <v>2</v>
      </c>
      <c r="I84" s="252"/>
    </row>
    <row r="85" spans="1:9" ht="14.25" customHeight="1" x14ac:dyDescent="0.25">
      <c r="A85" s="149"/>
      <c r="B85" s="522" t="s">
        <v>109</v>
      </c>
      <c r="C85" s="523"/>
      <c r="D85" s="523"/>
      <c r="E85" s="523"/>
      <c r="F85" s="523"/>
      <c r="G85" s="524"/>
      <c r="H85" s="251">
        <v>15</v>
      </c>
      <c r="I85" s="252"/>
    </row>
    <row r="86" spans="1:9" ht="13" x14ac:dyDescent="0.3">
      <c r="A86" s="149"/>
      <c r="B86" s="528" t="s">
        <v>110</v>
      </c>
      <c r="C86" s="529"/>
      <c r="D86" s="529"/>
      <c r="E86" s="529"/>
      <c r="F86" s="529"/>
      <c r="G86" s="530"/>
      <c r="H86" s="259">
        <v>0.06</v>
      </c>
      <c r="I86" s="254"/>
    </row>
    <row r="87" spans="1:9" ht="14.25" customHeight="1" x14ac:dyDescent="0.25">
      <c r="A87" s="149" t="s">
        <v>36</v>
      </c>
      <c r="B87" s="479" t="s">
        <v>388</v>
      </c>
      <c r="C87" s="480"/>
      <c r="D87" s="480"/>
      <c r="E87" s="480"/>
      <c r="F87" s="480"/>
      <c r="G87" s="480"/>
      <c r="H87" s="481"/>
      <c r="I87" s="290">
        <f>ROUNDUP((H88*H89)*(1-H90)*H37,2)</f>
        <v>851.73</v>
      </c>
    </row>
    <row r="88" spans="1:9" ht="14.25" customHeight="1" x14ac:dyDescent="0.25">
      <c r="A88" s="149"/>
      <c r="B88" s="410" t="s">
        <v>111</v>
      </c>
      <c r="C88" s="411"/>
      <c r="D88" s="411"/>
      <c r="E88" s="411"/>
      <c r="F88" s="411"/>
      <c r="G88" s="412"/>
      <c r="H88" s="274">
        <f>'Inserir dados na planilha'!I40</f>
        <v>28.390899999999998</v>
      </c>
      <c r="I88" s="252"/>
    </row>
    <row r="89" spans="1:9" ht="13" x14ac:dyDescent="0.25">
      <c r="A89" s="164"/>
      <c r="B89" s="485" t="s">
        <v>112</v>
      </c>
      <c r="C89" s="486"/>
      <c r="D89" s="486"/>
      <c r="E89" s="486"/>
      <c r="F89" s="486"/>
      <c r="G89" s="487"/>
      <c r="H89" s="251">
        <v>15</v>
      </c>
      <c r="I89" s="252"/>
    </row>
    <row r="90" spans="1:9" ht="13" x14ac:dyDescent="0.25">
      <c r="A90" s="164"/>
      <c r="B90" s="410" t="s">
        <v>113</v>
      </c>
      <c r="C90" s="411"/>
      <c r="D90" s="411"/>
      <c r="E90" s="411"/>
      <c r="F90" s="412"/>
      <c r="G90" s="258">
        <f>'Inserir dados na planilha'!G41</f>
        <v>0</v>
      </c>
      <c r="H90" s="263">
        <f>'Inserir dados na planilha'!I41</f>
        <v>0</v>
      </c>
      <c r="I90" s="252">
        <f>'Inserir dados na planilha'!I41</f>
        <v>0</v>
      </c>
    </row>
    <row r="91" spans="1:9" ht="13" x14ac:dyDescent="0.25">
      <c r="A91" s="149" t="s">
        <v>38</v>
      </c>
      <c r="B91" s="488" t="s">
        <v>114</v>
      </c>
      <c r="C91" s="489"/>
      <c r="D91" s="489"/>
      <c r="E91" s="489"/>
      <c r="F91" s="489"/>
      <c r="G91" s="490"/>
      <c r="H91" s="256">
        <f>'Inserir dados na planilha'!I42</f>
        <v>0</v>
      </c>
      <c r="I91" s="256">
        <f>ROUNDUP((H91*$H$37)*(1-'Inserir dados na planilha'!H42),2)</f>
        <v>0</v>
      </c>
    </row>
    <row r="92" spans="1:9" ht="13" x14ac:dyDescent="0.25">
      <c r="A92" s="149" t="s">
        <v>40</v>
      </c>
      <c r="B92" s="443" t="s">
        <v>115</v>
      </c>
      <c r="C92" s="444"/>
      <c r="D92" s="444"/>
      <c r="E92" s="444"/>
      <c r="F92" s="444"/>
      <c r="G92" s="445"/>
      <c r="H92" s="256">
        <f>'Inserir dados na planilha'!I43</f>
        <v>44.03</v>
      </c>
      <c r="I92" s="256">
        <f>ROUNDUP((H92*$H$37)*(1-'Inserir dados na planilha'!H43),2)</f>
        <v>88.06</v>
      </c>
    </row>
    <row r="93" spans="1:9" ht="13" x14ac:dyDescent="0.25">
      <c r="A93" s="149" t="s">
        <v>73</v>
      </c>
      <c r="B93" s="413" t="s">
        <v>378</v>
      </c>
      <c r="C93" s="414"/>
      <c r="D93" s="414"/>
      <c r="E93" s="414"/>
      <c r="F93" s="414"/>
      <c r="G93" s="415"/>
      <c r="H93" s="256">
        <f>'Inserir dados na planilha'!I44</f>
        <v>0</v>
      </c>
      <c r="I93" s="256">
        <f>ROUNDUP((H93*$H$37)*(1-'Inserir dados na planilha'!H44),2)</f>
        <v>0</v>
      </c>
    </row>
    <row r="94" spans="1:9" ht="13" x14ac:dyDescent="0.25">
      <c r="A94" s="149" t="s">
        <v>76</v>
      </c>
      <c r="B94" s="413" t="s">
        <v>379</v>
      </c>
      <c r="C94" s="414"/>
      <c r="D94" s="414"/>
      <c r="E94" s="414"/>
      <c r="F94" s="414"/>
      <c r="G94" s="415"/>
      <c r="H94" s="256">
        <f>'Inserir dados na planilha'!I45</f>
        <v>0</v>
      </c>
      <c r="I94" s="256">
        <f>ROUNDUP((H94*$H$37)*(1-'Inserir dados na planilha'!H45),2)</f>
        <v>0</v>
      </c>
    </row>
    <row r="95" spans="1:9" ht="13" x14ac:dyDescent="0.25">
      <c r="A95" s="165"/>
      <c r="B95" s="520" t="s">
        <v>75</v>
      </c>
      <c r="C95" s="520"/>
      <c r="D95" s="520"/>
      <c r="E95" s="520"/>
      <c r="F95" s="520"/>
      <c r="G95" s="520"/>
      <c r="H95" s="520"/>
      <c r="I95" s="158">
        <f>TRUNC(SUM(I82:I94),2)</f>
        <v>968.92</v>
      </c>
    </row>
    <row r="96" spans="1:9" x14ac:dyDescent="0.25">
      <c r="A96" s="505"/>
      <c r="B96" s="505"/>
      <c r="C96" s="505"/>
      <c r="D96" s="505"/>
      <c r="E96" s="505"/>
      <c r="F96" s="505"/>
      <c r="G96" s="505"/>
      <c r="H96" s="505"/>
      <c r="I96" s="505"/>
    </row>
    <row r="97" spans="1:9" x14ac:dyDescent="0.25">
      <c r="A97" s="513"/>
      <c r="B97" s="513"/>
      <c r="C97" s="513"/>
      <c r="D97" s="513"/>
      <c r="E97" s="513"/>
      <c r="F97" s="513"/>
      <c r="G97" s="513"/>
      <c r="H97" s="513"/>
      <c r="I97" s="513"/>
    </row>
    <row r="98" spans="1:9" ht="14.25" customHeight="1" x14ac:dyDescent="0.25">
      <c r="A98" s="505"/>
      <c r="B98" s="505"/>
      <c r="C98" s="505"/>
      <c r="D98" s="505"/>
      <c r="E98" s="505"/>
      <c r="F98" s="505"/>
      <c r="G98" s="505"/>
      <c r="H98" s="505"/>
      <c r="I98" s="505"/>
    </row>
    <row r="99" spans="1:9" ht="17.25" customHeight="1" x14ac:dyDescent="0.25">
      <c r="A99" s="448" t="s">
        <v>116</v>
      </c>
      <c r="B99" s="448"/>
      <c r="C99" s="448"/>
      <c r="D99" s="448"/>
      <c r="E99" s="448"/>
      <c r="F99" s="448"/>
      <c r="G99" s="448"/>
      <c r="H99" s="448"/>
      <c r="I99" s="448"/>
    </row>
    <row r="100" spans="1:9" ht="15.75" customHeight="1" x14ac:dyDescent="0.25">
      <c r="A100" s="154">
        <v>2</v>
      </c>
      <c r="B100" s="515" t="s">
        <v>117</v>
      </c>
      <c r="C100" s="515"/>
      <c r="D100" s="515"/>
      <c r="E100" s="515"/>
      <c r="F100" s="515"/>
      <c r="G100" s="515"/>
      <c r="H100" s="515"/>
      <c r="I100" s="154" t="s">
        <v>85</v>
      </c>
    </row>
    <row r="101" spans="1:9" ht="14.25" customHeight="1" x14ac:dyDescent="0.3">
      <c r="A101" s="141" t="s">
        <v>82</v>
      </c>
      <c r="B101" s="448" t="s">
        <v>118</v>
      </c>
      <c r="C101" s="448"/>
      <c r="D101" s="448"/>
      <c r="E101" s="448"/>
      <c r="F101" s="448"/>
      <c r="G101" s="448"/>
      <c r="H101" s="448"/>
      <c r="I101" s="184">
        <f>I62</f>
        <v>657.87</v>
      </c>
    </row>
    <row r="102" spans="1:9" ht="14.25" customHeight="1" x14ac:dyDescent="0.3">
      <c r="A102" s="141" t="s">
        <v>89</v>
      </c>
      <c r="B102" s="448" t="s">
        <v>90</v>
      </c>
      <c r="C102" s="448"/>
      <c r="D102" s="448"/>
      <c r="E102" s="448"/>
      <c r="F102" s="448"/>
      <c r="G102" s="448"/>
      <c r="H102" s="448"/>
      <c r="I102" s="184">
        <f>I76</f>
        <v>2567.71</v>
      </c>
    </row>
    <row r="103" spans="1:9" ht="14.25" customHeight="1" x14ac:dyDescent="0.3">
      <c r="A103" s="141" t="s">
        <v>104</v>
      </c>
      <c r="B103" s="448" t="s">
        <v>105</v>
      </c>
      <c r="C103" s="448"/>
      <c r="D103" s="448"/>
      <c r="E103" s="448"/>
      <c r="F103" s="448"/>
      <c r="G103" s="448"/>
      <c r="H103" s="448"/>
      <c r="I103" s="184">
        <f>I95</f>
        <v>968.92</v>
      </c>
    </row>
    <row r="104" spans="1:9" ht="14.25" customHeight="1" x14ac:dyDescent="0.25">
      <c r="A104" s="514" t="s">
        <v>75</v>
      </c>
      <c r="B104" s="514"/>
      <c r="C104" s="514"/>
      <c r="D104" s="514"/>
      <c r="E104" s="514"/>
      <c r="F104" s="514"/>
      <c r="G104" s="514"/>
      <c r="H104" s="514"/>
      <c r="I104" s="158">
        <f>TRUNC(SUM(I101:I103),2)</f>
        <v>4194.5</v>
      </c>
    </row>
    <row r="105" spans="1:9" ht="14.25" customHeight="1" x14ac:dyDescent="0.25">
      <c r="A105" s="505"/>
      <c r="B105" s="505"/>
      <c r="C105" s="505"/>
      <c r="D105" s="505"/>
      <c r="E105" s="505"/>
      <c r="F105" s="505"/>
      <c r="G105" s="505"/>
      <c r="H105" s="505"/>
      <c r="I105" s="505"/>
    </row>
    <row r="106" spans="1:9" ht="13" x14ac:dyDescent="0.25">
      <c r="A106" s="517" t="s">
        <v>119</v>
      </c>
      <c r="B106" s="517"/>
      <c r="C106" s="517"/>
      <c r="D106" s="517"/>
      <c r="E106" s="517"/>
      <c r="F106" s="517"/>
      <c r="G106" s="517"/>
      <c r="H106" s="517"/>
      <c r="I106" s="517"/>
    </row>
    <row r="107" spans="1:9" ht="13" x14ac:dyDescent="0.25">
      <c r="A107" s="163">
        <v>3</v>
      </c>
      <c r="B107" s="531" t="s">
        <v>120</v>
      </c>
      <c r="C107" s="531"/>
      <c r="D107" s="531"/>
      <c r="E107" s="531"/>
      <c r="F107" s="531"/>
      <c r="G107" s="531"/>
      <c r="H107" s="163" t="s">
        <v>84</v>
      </c>
      <c r="I107" s="163" t="s">
        <v>121</v>
      </c>
    </row>
    <row r="108" spans="1:9" ht="15" customHeight="1" x14ac:dyDescent="0.25">
      <c r="A108" s="149" t="s">
        <v>34</v>
      </c>
      <c r="B108" s="448" t="s">
        <v>122</v>
      </c>
      <c r="C108" s="448"/>
      <c r="D108" s="448"/>
      <c r="E108" s="448"/>
      <c r="F108" s="448"/>
      <c r="G108" s="448"/>
      <c r="H108" s="275">
        <f>I108/($I$48+$I$62)</f>
        <v>4.5834941508910458E-3</v>
      </c>
      <c r="I108" s="16">
        <f>ROUNDUP(((((I48+I62)*5.5%)/12)),2)</f>
        <v>29.57</v>
      </c>
    </row>
    <row r="109" spans="1:9" ht="13" x14ac:dyDescent="0.25">
      <c r="A109" s="149" t="s">
        <v>36</v>
      </c>
      <c r="B109" s="517" t="s">
        <v>123</v>
      </c>
      <c r="C109" s="517"/>
      <c r="D109" s="517"/>
      <c r="E109" s="517"/>
      <c r="F109" s="517"/>
      <c r="G109" s="517"/>
      <c r="H109" s="216">
        <f>I109/($I$48+$I$62)</f>
        <v>3.6736155352085819E-4</v>
      </c>
      <c r="I109" s="16">
        <f>ROUNDUP($I$108*H75,2)</f>
        <v>2.3699999999999997</v>
      </c>
    </row>
    <row r="110" spans="1:9" ht="13.5" customHeight="1" x14ac:dyDescent="0.25">
      <c r="A110" s="149" t="s">
        <v>38</v>
      </c>
      <c r="B110" s="448" t="s">
        <v>202</v>
      </c>
      <c r="C110" s="448"/>
      <c r="D110" s="448"/>
      <c r="E110" s="448"/>
      <c r="F110" s="448"/>
      <c r="G110" s="448"/>
      <c r="H110" s="43">
        <v>8.0000000000000002E-3</v>
      </c>
      <c r="I110" s="16">
        <f>ROUNDUP(H110*($I$48+$I$62),2)</f>
        <v>51.62</v>
      </c>
    </row>
    <row r="111" spans="1:9" ht="15" customHeight="1" x14ac:dyDescent="0.25">
      <c r="A111" s="149" t="s">
        <v>40</v>
      </c>
      <c r="B111" s="448" t="s">
        <v>125</v>
      </c>
      <c r="C111" s="448"/>
      <c r="D111" s="448"/>
      <c r="E111" s="448"/>
      <c r="F111" s="448"/>
      <c r="G111" s="448"/>
      <c r="H111" s="276">
        <f>I111/($I$48+$I$62)</f>
        <v>1.9445361556620955E-2</v>
      </c>
      <c r="I111" s="16">
        <f>ROUNDUP(((($I$48+$I$62)/30)*7)/12,2)</f>
        <v>125.45</v>
      </c>
    </row>
    <row r="112" spans="1:9" ht="24" customHeight="1" x14ac:dyDescent="0.25">
      <c r="A112" s="149" t="s">
        <v>73</v>
      </c>
      <c r="B112" s="448" t="s">
        <v>126</v>
      </c>
      <c r="C112" s="448"/>
      <c r="D112" s="448"/>
      <c r="E112" s="448"/>
      <c r="F112" s="448"/>
      <c r="G112" s="448"/>
      <c r="H112" s="43">
        <f>I112/($I$48+$I$62)</f>
        <v>7.7393934039225532E-3</v>
      </c>
      <c r="I112" s="16">
        <f>ROUNDUP(I111*H76,2)</f>
        <v>49.93</v>
      </c>
    </row>
    <row r="113" spans="1:9" ht="13" x14ac:dyDescent="0.25">
      <c r="A113" s="149" t="s">
        <v>76</v>
      </c>
      <c r="B113" s="448" t="s">
        <v>127</v>
      </c>
      <c r="C113" s="448"/>
      <c r="D113" s="448"/>
      <c r="E113" s="448"/>
      <c r="F113" s="448"/>
      <c r="G113" s="448"/>
      <c r="H113" s="28">
        <f>I113/(I48)</f>
        <v>3.2001159912592295E-2</v>
      </c>
      <c r="I113" s="16">
        <f>ROUNDUP((I48)*H75*40%,2)</f>
        <v>185.39999999999998</v>
      </c>
    </row>
    <row r="114" spans="1:9" ht="13" x14ac:dyDescent="0.25">
      <c r="A114" s="520" t="s">
        <v>75</v>
      </c>
      <c r="B114" s="520"/>
      <c r="C114" s="520"/>
      <c r="D114" s="520"/>
      <c r="E114" s="520"/>
      <c r="F114" s="520"/>
      <c r="G114" s="520"/>
      <c r="H114" s="520"/>
      <c r="I114" s="277">
        <f>TRUNC(SUM(I108:I113),2)</f>
        <v>444.34</v>
      </c>
    </row>
    <row r="115" spans="1:9" x14ac:dyDescent="0.25">
      <c r="A115" s="533"/>
      <c r="B115" s="533"/>
      <c r="C115" s="533"/>
      <c r="D115" s="533"/>
      <c r="E115" s="533"/>
      <c r="F115" s="533"/>
      <c r="G115" s="533"/>
      <c r="H115" s="533"/>
      <c r="I115" s="533"/>
    </row>
    <row r="116" spans="1:9" ht="17.25" customHeight="1" x14ac:dyDescent="0.25">
      <c r="A116" s="448" t="s">
        <v>128</v>
      </c>
      <c r="B116" s="448"/>
      <c r="C116" s="448"/>
      <c r="D116" s="448"/>
      <c r="E116" s="448"/>
      <c r="F116" s="448"/>
      <c r="G116" s="448"/>
      <c r="H116" s="448"/>
      <c r="I116" s="448"/>
    </row>
    <row r="117" spans="1:9" ht="17.25" hidden="1" customHeight="1" x14ac:dyDescent="0.3">
      <c r="A117" s="534" t="s">
        <v>129</v>
      </c>
      <c r="B117" s="534"/>
      <c r="C117" s="534"/>
      <c r="D117" s="534"/>
      <c r="E117" s="534"/>
      <c r="F117" s="534"/>
      <c r="G117" s="534"/>
      <c r="H117" s="534"/>
      <c r="I117" s="534"/>
    </row>
    <row r="118" spans="1:9" ht="33.75" hidden="1" customHeight="1" x14ac:dyDescent="0.25">
      <c r="A118" s="167" t="s">
        <v>130</v>
      </c>
      <c r="B118" s="189">
        <f>I48</f>
        <v>5793.54</v>
      </c>
      <c r="C118" s="168"/>
      <c r="D118" s="187" t="s">
        <v>131</v>
      </c>
      <c r="E118" s="188">
        <f>I104-I82-I87</f>
        <v>3313.6339999999996</v>
      </c>
      <c r="F118" s="168"/>
      <c r="G118" s="167" t="s">
        <v>132</v>
      </c>
      <c r="H118" s="188">
        <f>I114</f>
        <v>444.34</v>
      </c>
      <c r="I118" s="190">
        <f>ROUND(B118+E118+H118,2)</f>
        <v>9551.51</v>
      </c>
    </row>
    <row r="119" spans="1:9" ht="13" x14ac:dyDescent="0.25">
      <c r="A119" s="448" t="s">
        <v>133</v>
      </c>
      <c r="B119" s="448"/>
      <c r="C119" s="448"/>
      <c r="D119" s="448"/>
      <c r="E119" s="448"/>
      <c r="F119" s="448"/>
      <c r="G119" s="448"/>
      <c r="H119" s="448"/>
      <c r="I119" s="448"/>
    </row>
    <row r="120" spans="1:9" ht="13" x14ac:dyDescent="0.3">
      <c r="A120" s="170" t="s">
        <v>134</v>
      </c>
      <c r="B120" s="531" t="s">
        <v>135</v>
      </c>
      <c r="C120" s="531"/>
      <c r="D120" s="531"/>
      <c r="E120" s="531"/>
      <c r="F120" s="531"/>
      <c r="G120" s="531"/>
      <c r="H120" s="163" t="s">
        <v>84</v>
      </c>
      <c r="I120" s="170" t="s">
        <v>85</v>
      </c>
    </row>
    <row r="121" spans="1:9" ht="13.5" customHeight="1" x14ac:dyDescent="0.25">
      <c r="A121" s="149" t="s">
        <v>34</v>
      </c>
      <c r="B121" s="518" t="s">
        <v>136</v>
      </c>
      <c r="C121" s="518"/>
      <c r="D121" s="518"/>
      <c r="E121" s="518"/>
      <c r="F121" s="518"/>
      <c r="G121" s="518"/>
      <c r="H121" s="171">
        <v>9.0749999999999997E-2</v>
      </c>
      <c r="I121" s="16">
        <f>ROUNDUP($I$48*H121,2)</f>
        <v>525.77</v>
      </c>
    </row>
    <row r="122" spans="1:9" ht="13" x14ac:dyDescent="0.25">
      <c r="A122" s="172" t="s">
        <v>137</v>
      </c>
      <c r="B122" s="518" t="s">
        <v>138</v>
      </c>
      <c r="C122" s="518"/>
      <c r="D122" s="518"/>
      <c r="E122" s="518"/>
      <c r="F122" s="518"/>
      <c r="G122" s="518"/>
      <c r="H122" s="191">
        <f>I122/($I$48+$I$62)</f>
        <v>3.2436320122267846E-2</v>
      </c>
      <c r="I122" s="16">
        <f>ROUNDUP(I121*H76,2)</f>
        <v>209.26</v>
      </c>
    </row>
    <row r="123" spans="1:9" ht="15" customHeight="1" x14ac:dyDescent="0.25">
      <c r="A123" s="172" t="s">
        <v>36</v>
      </c>
      <c r="B123" s="532" t="s">
        <v>139</v>
      </c>
      <c r="C123" s="532"/>
      <c r="D123" s="532"/>
      <c r="E123" s="532"/>
      <c r="F123" s="532"/>
      <c r="G123" s="532"/>
      <c r="H123" s="264">
        <f>'Inserir dados na planilha'!I49</f>
        <v>1.6299999999999999E-2</v>
      </c>
      <c r="I123" s="212">
        <f>ROUNDUP(H123*$I$118,2)</f>
        <v>155.69</v>
      </c>
    </row>
    <row r="124" spans="1:9" ht="15" customHeight="1" x14ac:dyDescent="0.25">
      <c r="A124" s="149" t="s">
        <v>38</v>
      </c>
      <c r="B124" s="448" t="s">
        <v>140</v>
      </c>
      <c r="C124" s="448"/>
      <c r="D124" s="448"/>
      <c r="E124" s="448"/>
      <c r="F124" s="448"/>
      <c r="G124" s="448"/>
      <c r="H124" s="264">
        <f>'Inserir dados na planilha'!I50</f>
        <v>2.3000000000000001E-4</v>
      </c>
      <c r="I124" s="212">
        <f>ROUNDUP(H124*$I$118,2)</f>
        <v>2.1999999999999997</v>
      </c>
    </row>
    <row r="125" spans="1:9" ht="15" customHeight="1" x14ac:dyDescent="0.25">
      <c r="A125" s="149" t="s">
        <v>40</v>
      </c>
      <c r="B125" s="448" t="s">
        <v>141</v>
      </c>
      <c r="C125" s="448"/>
      <c r="D125" s="448"/>
      <c r="E125" s="448"/>
      <c r="F125" s="448"/>
      <c r="G125" s="448"/>
      <c r="H125" s="264">
        <f>'Inserir dados na planilha'!I51</f>
        <v>3.3E-3</v>
      </c>
      <c r="I125" s="212">
        <f>ROUNDUP(H125*$I$118,2)</f>
        <v>31.520000000000003</v>
      </c>
    </row>
    <row r="126" spans="1:9" ht="15" customHeight="1" x14ac:dyDescent="0.25">
      <c r="A126" s="149" t="s">
        <v>73</v>
      </c>
      <c r="B126" s="448" t="s">
        <v>142</v>
      </c>
      <c r="C126" s="448"/>
      <c r="D126" s="448"/>
      <c r="E126" s="448"/>
      <c r="F126" s="448"/>
      <c r="G126" s="448"/>
      <c r="H126" s="265">
        <f>'Inserir dados na planilha'!I52</f>
        <v>5.5000000000000003E-4</v>
      </c>
      <c r="I126" s="212">
        <f>ROUNDUP(H126*$I$118,2)</f>
        <v>5.26</v>
      </c>
    </row>
    <row r="127" spans="1:9" ht="15" customHeight="1" x14ac:dyDescent="0.25">
      <c r="A127" s="149" t="s">
        <v>76</v>
      </c>
      <c r="B127" s="448" t="s">
        <v>143</v>
      </c>
      <c r="C127" s="448"/>
      <c r="D127" s="448"/>
      <c r="E127" s="448"/>
      <c r="F127" s="448"/>
      <c r="G127" s="448"/>
      <c r="H127" s="264">
        <f>'Inserir dados na planilha'!I53</f>
        <v>1.3899999999999999E-2</v>
      </c>
      <c r="I127" s="212">
        <f>ROUNDUP(H127*$I$118,2)</f>
        <v>132.76999999999998</v>
      </c>
    </row>
    <row r="128" spans="1:9" ht="13" x14ac:dyDescent="0.3">
      <c r="A128" s="520" t="s">
        <v>75</v>
      </c>
      <c r="B128" s="520"/>
      <c r="C128" s="520"/>
      <c r="D128" s="520"/>
      <c r="E128" s="520"/>
      <c r="F128" s="520"/>
      <c r="G128" s="520"/>
      <c r="H128" s="520"/>
      <c r="I128" s="192">
        <f>TRUNC(SUM(I121:I127),2)</f>
        <v>1062.47</v>
      </c>
    </row>
    <row r="129" spans="1:9" x14ac:dyDescent="0.25">
      <c r="A129" s="533"/>
      <c r="B129" s="533"/>
      <c r="C129" s="533"/>
      <c r="D129" s="533"/>
      <c r="E129" s="533"/>
      <c r="F129" s="533"/>
      <c r="G129" s="533"/>
      <c r="H129" s="533"/>
      <c r="I129" s="533"/>
    </row>
    <row r="130" spans="1:9" ht="13" x14ac:dyDescent="0.25">
      <c r="A130" s="517" t="s">
        <v>144</v>
      </c>
      <c r="B130" s="517"/>
      <c r="C130" s="517"/>
      <c r="D130" s="517"/>
      <c r="E130" s="517"/>
      <c r="F130" s="517"/>
      <c r="G130" s="517"/>
      <c r="H130" s="517"/>
      <c r="I130" s="517"/>
    </row>
    <row r="131" spans="1:9" ht="13" x14ac:dyDescent="0.25">
      <c r="A131" s="163" t="s">
        <v>145</v>
      </c>
      <c r="B131" s="531" t="s">
        <v>146</v>
      </c>
      <c r="C131" s="531"/>
      <c r="D131" s="531"/>
      <c r="E131" s="531"/>
      <c r="F131" s="531"/>
      <c r="G131" s="531"/>
      <c r="H131" s="531"/>
      <c r="I131" s="169" t="s">
        <v>85</v>
      </c>
    </row>
    <row r="132" spans="1:9" ht="13" x14ac:dyDescent="0.25">
      <c r="A132" s="18" t="s">
        <v>34</v>
      </c>
      <c r="B132" s="491" t="s">
        <v>147</v>
      </c>
      <c r="C132" s="492"/>
      <c r="D132" s="492"/>
      <c r="E132" s="492"/>
      <c r="F132" s="492"/>
      <c r="G132" s="492"/>
      <c r="H132" s="493"/>
      <c r="I132" s="16">
        <f>ROUNDUP(H26*15*H37,2)</f>
        <v>311.7</v>
      </c>
    </row>
    <row r="133" spans="1:9" ht="13" x14ac:dyDescent="0.25">
      <c r="A133" s="172" t="s">
        <v>36</v>
      </c>
      <c r="B133" s="494" t="s">
        <v>451</v>
      </c>
      <c r="C133" s="495"/>
      <c r="D133" s="495"/>
      <c r="E133" s="495"/>
      <c r="F133" s="495"/>
      <c r="G133" s="495"/>
      <c r="H133" s="496"/>
      <c r="I133" s="147">
        <f>ROUNDUP(I132*0.0833,2)</f>
        <v>25.970000000000002</v>
      </c>
    </row>
    <row r="134" spans="1:9" ht="13" x14ac:dyDescent="0.25">
      <c r="A134" s="172" t="s">
        <v>38</v>
      </c>
      <c r="B134" s="494" t="s">
        <v>452</v>
      </c>
      <c r="C134" s="495"/>
      <c r="D134" s="495"/>
      <c r="E134" s="495"/>
      <c r="F134" s="495"/>
      <c r="G134" s="495"/>
      <c r="H134" s="496"/>
      <c r="I134" s="147">
        <f>ROUNDUP(I132*0.03025,2)</f>
        <v>9.43</v>
      </c>
    </row>
    <row r="135" spans="1:9" ht="13" x14ac:dyDescent="0.25">
      <c r="A135" s="172" t="s">
        <v>40</v>
      </c>
      <c r="B135" s="494" t="s">
        <v>453</v>
      </c>
      <c r="C135" s="495"/>
      <c r="D135" s="495"/>
      <c r="E135" s="495"/>
      <c r="F135" s="495"/>
      <c r="G135" s="495"/>
      <c r="H135" s="496"/>
      <c r="I135" s="147">
        <f>ROUNDUP((I132+I133+I134)*H76,2)</f>
        <v>138.14999999999998</v>
      </c>
    </row>
    <row r="136" spans="1:9" ht="13" x14ac:dyDescent="0.25">
      <c r="A136" s="535" t="s">
        <v>75</v>
      </c>
      <c r="B136" s="535"/>
      <c r="C136" s="535"/>
      <c r="D136" s="535"/>
      <c r="E136" s="535"/>
      <c r="F136" s="535"/>
      <c r="G136" s="535"/>
      <c r="H136" s="535"/>
      <c r="I136" s="147">
        <f>TRUNC(SUM(I132:I135),2)</f>
        <v>485.25</v>
      </c>
    </row>
    <row r="137" spans="1:9" ht="14.25" customHeight="1" x14ac:dyDescent="0.25">
      <c r="A137" s="533"/>
      <c r="B137" s="533"/>
      <c r="C137" s="533"/>
      <c r="D137" s="533"/>
      <c r="E137" s="533"/>
      <c r="F137" s="533"/>
      <c r="G137" s="533"/>
      <c r="H137" s="533"/>
      <c r="I137" s="533"/>
    </row>
    <row r="138" spans="1:9" ht="17.25" customHeight="1" x14ac:dyDescent="0.25">
      <c r="A138" s="448" t="s">
        <v>148</v>
      </c>
      <c r="B138" s="448"/>
      <c r="C138" s="448"/>
      <c r="D138" s="448"/>
      <c r="E138" s="448"/>
      <c r="F138" s="448"/>
      <c r="G138" s="448"/>
      <c r="H138" s="448"/>
      <c r="I138" s="448"/>
    </row>
    <row r="139" spans="1:9" ht="13" x14ac:dyDescent="0.25">
      <c r="A139" s="154">
        <v>4</v>
      </c>
      <c r="B139" s="531" t="s">
        <v>149</v>
      </c>
      <c r="C139" s="531"/>
      <c r="D139" s="531"/>
      <c r="E139" s="531"/>
      <c r="F139" s="531"/>
      <c r="G139" s="531"/>
      <c r="H139" s="531"/>
      <c r="I139" s="169" t="s">
        <v>85</v>
      </c>
    </row>
    <row r="140" spans="1:9" ht="13" x14ac:dyDescent="0.25">
      <c r="A140" s="141" t="s">
        <v>134</v>
      </c>
      <c r="B140" s="517" t="s">
        <v>135</v>
      </c>
      <c r="C140" s="517"/>
      <c r="D140" s="517"/>
      <c r="E140" s="517"/>
      <c r="F140" s="517"/>
      <c r="G140" s="517"/>
      <c r="H140" s="517"/>
      <c r="I140" s="147">
        <f>I128</f>
        <v>1062.47</v>
      </c>
    </row>
    <row r="141" spans="1:9" ht="13" x14ac:dyDescent="0.25">
      <c r="A141" s="141" t="s">
        <v>145</v>
      </c>
      <c r="B141" s="517" t="s">
        <v>146</v>
      </c>
      <c r="C141" s="517"/>
      <c r="D141" s="517"/>
      <c r="E141" s="517"/>
      <c r="F141" s="517"/>
      <c r="G141" s="517"/>
      <c r="H141" s="517"/>
      <c r="I141" s="147">
        <f>I136</f>
        <v>485.25</v>
      </c>
    </row>
    <row r="142" spans="1:9" ht="14.25" customHeight="1" x14ac:dyDescent="0.25">
      <c r="A142" s="514" t="s">
        <v>75</v>
      </c>
      <c r="B142" s="514"/>
      <c r="C142" s="514"/>
      <c r="D142" s="514"/>
      <c r="E142" s="514"/>
      <c r="F142" s="514"/>
      <c r="G142" s="514"/>
      <c r="H142" s="514"/>
      <c r="I142" s="158">
        <f>TRUNC(SUM(I140:I141),2)</f>
        <v>1547.72</v>
      </c>
    </row>
    <row r="143" spans="1:9" x14ac:dyDescent="0.25">
      <c r="A143" s="505"/>
      <c r="B143" s="505"/>
      <c r="C143" s="505"/>
      <c r="D143" s="505"/>
      <c r="E143" s="505"/>
      <c r="F143" s="505"/>
      <c r="G143" s="505"/>
      <c r="H143" s="505"/>
      <c r="I143" s="505"/>
    </row>
    <row r="144" spans="1:9" ht="17.25" customHeight="1" x14ac:dyDescent="0.25">
      <c r="A144" s="448" t="s">
        <v>150</v>
      </c>
      <c r="B144" s="448"/>
      <c r="C144" s="448"/>
      <c r="D144" s="448"/>
      <c r="E144" s="448"/>
      <c r="F144" s="448"/>
      <c r="G144" s="448"/>
      <c r="H144" s="448"/>
      <c r="I144" s="448"/>
    </row>
    <row r="145" spans="1:9" ht="33" customHeight="1" x14ac:dyDescent="0.25">
      <c r="A145" s="163">
        <v>5</v>
      </c>
      <c r="B145" s="424" t="s">
        <v>151</v>
      </c>
      <c r="C145" s="425"/>
      <c r="D145" s="425"/>
      <c r="E145" s="425"/>
      <c r="F145" s="425"/>
      <c r="G145" s="426"/>
      <c r="H145" s="210" t="s">
        <v>398</v>
      </c>
      <c r="I145" s="209" t="s">
        <v>85</v>
      </c>
    </row>
    <row r="146" spans="1:9" ht="14.25" customHeight="1" x14ac:dyDescent="0.25">
      <c r="A146" s="149" t="s">
        <v>34</v>
      </c>
      <c r="B146" s="443" t="s">
        <v>152</v>
      </c>
      <c r="C146" s="444"/>
      <c r="D146" s="444"/>
      <c r="E146" s="444"/>
      <c r="F146" s="444"/>
      <c r="G146" s="445"/>
      <c r="H146" s="214">
        <f>'Uniforme e Materiais - Grupo 1'!F18</f>
        <v>215.5</v>
      </c>
      <c r="I146" s="214">
        <f>H146*H37</f>
        <v>431</v>
      </c>
    </row>
    <row r="147" spans="1:9" ht="14.25" customHeight="1" x14ac:dyDescent="0.25">
      <c r="A147" s="149" t="s">
        <v>36</v>
      </c>
      <c r="B147" s="399" t="s">
        <v>153</v>
      </c>
      <c r="C147" s="399"/>
      <c r="D147" s="399"/>
      <c r="E147" s="399"/>
      <c r="F147" s="399"/>
      <c r="G147" s="399"/>
      <c r="H147" s="399"/>
      <c r="I147" s="214">
        <f>'Uniforme e Materiais - Grupo 1'!F36</f>
        <v>241.35</v>
      </c>
    </row>
    <row r="148" spans="1:9" ht="13" x14ac:dyDescent="0.25">
      <c r="A148" s="149" t="s">
        <v>38</v>
      </c>
      <c r="B148" s="442" t="s">
        <v>154</v>
      </c>
      <c r="C148" s="442"/>
      <c r="D148" s="442"/>
      <c r="E148" s="442"/>
      <c r="F148" s="442"/>
      <c r="G148" s="442"/>
      <c r="H148" s="442"/>
      <c r="I148" s="219">
        <v>0</v>
      </c>
    </row>
    <row r="149" spans="1:9" ht="14.25" customHeight="1" x14ac:dyDescent="0.25">
      <c r="A149" s="149" t="s">
        <v>40</v>
      </c>
      <c r="B149" s="399" t="s">
        <v>155</v>
      </c>
      <c r="C149" s="399"/>
      <c r="D149" s="399"/>
      <c r="E149" s="399"/>
      <c r="F149" s="399"/>
      <c r="G149" s="399"/>
      <c r="H149" s="399"/>
      <c r="I149" s="219">
        <v>0</v>
      </c>
    </row>
    <row r="150" spans="1:9" ht="13" x14ac:dyDescent="0.25">
      <c r="A150" s="520" t="s">
        <v>75</v>
      </c>
      <c r="B150" s="520"/>
      <c r="C150" s="520"/>
      <c r="D150" s="520"/>
      <c r="E150" s="520"/>
      <c r="F150" s="520"/>
      <c r="G150" s="520"/>
      <c r="H150" s="520"/>
      <c r="I150" s="193">
        <f>TRUNC(SUM(I146:I149),2)</f>
        <v>672.35</v>
      </c>
    </row>
    <row r="151" spans="1:9" x14ac:dyDescent="0.25">
      <c r="A151" s="505"/>
      <c r="B151" s="505"/>
      <c r="C151" s="505"/>
      <c r="D151" s="505"/>
      <c r="E151" s="505"/>
      <c r="F151" s="505"/>
      <c r="G151" s="505"/>
      <c r="H151" s="505"/>
      <c r="I151" s="505"/>
    </row>
    <row r="152" spans="1:9" x14ac:dyDescent="0.25">
      <c r="A152" s="536"/>
      <c r="B152" s="536"/>
      <c r="C152" s="536"/>
      <c r="D152" s="536"/>
      <c r="E152" s="536"/>
      <c r="F152" s="536"/>
      <c r="G152" s="536"/>
      <c r="H152" s="536"/>
      <c r="I152" s="536"/>
    </row>
    <row r="153" spans="1:9" ht="13" x14ac:dyDescent="0.25">
      <c r="A153" s="174"/>
      <c r="B153" s="175"/>
      <c r="C153" s="175"/>
      <c r="D153" s="175"/>
      <c r="E153" s="175"/>
      <c r="F153" s="175"/>
      <c r="G153" s="175"/>
      <c r="H153" s="175"/>
      <c r="I153" s="176"/>
    </row>
    <row r="154" spans="1:9" ht="13" x14ac:dyDescent="0.25">
      <c r="A154" s="517" t="s">
        <v>156</v>
      </c>
      <c r="B154" s="517"/>
      <c r="C154" s="517"/>
      <c r="D154" s="517"/>
      <c r="E154" s="517"/>
      <c r="F154" s="517"/>
      <c r="G154" s="517"/>
      <c r="H154" s="517"/>
      <c r="I154" s="517"/>
    </row>
    <row r="155" spans="1:9" ht="26" x14ac:dyDescent="0.25">
      <c r="A155" s="163">
        <v>6</v>
      </c>
      <c r="B155" s="531" t="s">
        <v>157</v>
      </c>
      <c r="C155" s="531"/>
      <c r="D155" s="531"/>
      <c r="E155" s="531"/>
      <c r="F155" s="531"/>
      <c r="G155" s="531"/>
      <c r="H155" s="154" t="s">
        <v>84</v>
      </c>
      <c r="I155" s="177" t="s">
        <v>67</v>
      </c>
    </row>
    <row r="156" spans="1:9" ht="13.5" customHeight="1" x14ac:dyDescent="0.25">
      <c r="A156" s="537" t="s">
        <v>158</v>
      </c>
      <c r="B156" s="538"/>
      <c r="C156" s="538"/>
      <c r="D156" s="538"/>
      <c r="E156" s="538"/>
      <c r="F156" s="538"/>
      <c r="G156" s="539"/>
      <c r="H156" s="18" t="s">
        <v>164</v>
      </c>
      <c r="I156" s="16">
        <f>(I53+I104+I114+I142+I150)</f>
        <v>12652.45</v>
      </c>
    </row>
    <row r="157" spans="1:9" ht="15.5" x14ac:dyDescent="0.25">
      <c r="A157" s="62" t="s">
        <v>34</v>
      </c>
      <c r="B157" s="543" t="s">
        <v>159</v>
      </c>
      <c r="C157" s="544"/>
      <c r="D157" s="544"/>
      <c r="E157" s="544"/>
      <c r="F157" s="544"/>
      <c r="G157" s="545"/>
      <c r="H157" s="213">
        <f>'Inserir dados na planilha'!I57</f>
        <v>0.05</v>
      </c>
      <c r="I157" s="212">
        <f>ROUNDUP(H157*I156,2)</f>
        <v>632.63</v>
      </c>
    </row>
    <row r="158" spans="1:9" ht="13.5" customHeight="1" x14ac:dyDescent="0.25">
      <c r="A158" s="537" t="s">
        <v>160</v>
      </c>
      <c r="B158" s="538"/>
      <c r="C158" s="538"/>
      <c r="D158" s="538"/>
      <c r="E158" s="538"/>
      <c r="F158" s="538"/>
      <c r="G158" s="539"/>
      <c r="H158" s="257" t="s">
        <v>164</v>
      </c>
      <c r="I158" s="212">
        <f>(I53+I104+I114+I142+I150+I157)</f>
        <v>13285.08</v>
      </c>
    </row>
    <row r="159" spans="1:9" ht="15.5" x14ac:dyDescent="0.25">
      <c r="A159" s="62" t="s">
        <v>36</v>
      </c>
      <c r="B159" s="540" t="s">
        <v>161</v>
      </c>
      <c r="C159" s="541"/>
      <c r="D159" s="541"/>
      <c r="E159" s="541"/>
      <c r="F159" s="541"/>
      <c r="G159" s="542"/>
      <c r="H159" s="213">
        <f>'Inserir dados na planilha'!I58</f>
        <v>0.1</v>
      </c>
      <c r="I159" s="212">
        <f>ROUNDUP(H159*I158,2)</f>
        <v>1328.51</v>
      </c>
    </row>
    <row r="160" spans="1:9" ht="13.5" customHeight="1" x14ac:dyDescent="0.25">
      <c r="A160" s="537" t="s">
        <v>162</v>
      </c>
      <c r="B160" s="538"/>
      <c r="C160" s="538"/>
      <c r="D160" s="538"/>
      <c r="E160" s="538"/>
      <c r="F160" s="538"/>
      <c r="G160" s="539"/>
      <c r="H160" s="266" t="s">
        <v>164</v>
      </c>
      <c r="I160" s="212">
        <f>(I53+I104+I114+I142+I150+I157+I159)</f>
        <v>14613.59</v>
      </c>
    </row>
    <row r="161" spans="1:9" ht="15.5" x14ac:dyDescent="0.25">
      <c r="A161" s="62" t="s">
        <v>38</v>
      </c>
      <c r="B161" s="540" t="s">
        <v>163</v>
      </c>
      <c r="C161" s="541"/>
      <c r="D161" s="541"/>
      <c r="E161" s="541"/>
      <c r="F161" s="541"/>
      <c r="G161" s="542"/>
      <c r="H161" s="266" t="s">
        <v>164</v>
      </c>
      <c r="I161" s="211" t="s">
        <v>164</v>
      </c>
    </row>
    <row r="162" spans="1:9" ht="15.5" x14ac:dyDescent="0.25">
      <c r="A162" s="18"/>
      <c r="B162" s="540" t="s">
        <v>165</v>
      </c>
      <c r="C162" s="541"/>
      <c r="D162" s="541"/>
      <c r="E162" s="541"/>
      <c r="F162" s="541"/>
      <c r="G162" s="542"/>
      <c r="H162" s="266" t="s">
        <v>164</v>
      </c>
      <c r="I162" s="211" t="s">
        <v>164</v>
      </c>
    </row>
    <row r="163" spans="1:9" ht="15.5" x14ac:dyDescent="0.25">
      <c r="A163" s="18"/>
      <c r="B163" s="543" t="s">
        <v>166</v>
      </c>
      <c r="C163" s="544"/>
      <c r="D163" s="544"/>
      <c r="E163" s="544"/>
      <c r="F163" s="544"/>
      <c r="G163" s="545"/>
      <c r="H163" s="213">
        <f>'Inserir dados na planilha'!I59</f>
        <v>0.03</v>
      </c>
      <c r="I163" s="212">
        <f>ROUNDUP(($I$160/(1-$H$170))*H163,2)</f>
        <v>479.93</v>
      </c>
    </row>
    <row r="164" spans="1:9" ht="15.5" x14ac:dyDescent="0.25">
      <c r="A164" s="18"/>
      <c r="B164" s="543" t="s">
        <v>167</v>
      </c>
      <c r="C164" s="544"/>
      <c r="D164" s="544"/>
      <c r="E164" s="544"/>
      <c r="F164" s="544"/>
      <c r="G164" s="545"/>
      <c r="H164" s="213">
        <f>'Inserir dados na planilha'!I60</f>
        <v>6.4999999999999997E-3</v>
      </c>
      <c r="I164" s="212">
        <f>ROUNDUP(($I$160/(1-$H$170))*H164,2)</f>
        <v>103.99000000000001</v>
      </c>
    </row>
    <row r="165" spans="1:9" ht="14.25" customHeight="1" x14ac:dyDescent="0.25">
      <c r="A165" s="18"/>
      <c r="B165" s="546" t="s">
        <v>168</v>
      </c>
      <c r="C165" s="547"/>
      <c r="D165" s="547"/>
      <c r="E165" s="547"/>
      <c r="F165" s="547"/>
      <c r="G165" s="548"/>
      <c r="H165" s="266" t="s">
        <v>164</v>
      </c>
      <c r="I165" s="36" t="s">
        <v>164</v>
      </c>
    </row>
    <row r="166" spans="1:9" ht="17.25" customHeight="1" x14ac:dyDescent="0.25">
      <c r="A166" s="18"/>
      <c r="B166" s="543" t="s">
        <v>169</v>
      </c>
      <c r="C166" s="544"/>
      <c r="D166" s="544"/>
      <c r="E166" s="544"/>
      <c r="F166" s="544"/>
      <c r="G166" s="545"/>
      <c r="H166" s="266" t="s">
        <v>164</v>
      </c>
      <c r="I166" s="36" t="s">
        <v>164</v>
      </c>
    </row>
    <row r="167" spans="1:9" ht="13" x14ac:dyDescent="0.25">
      <c r="A167" s="18"/>
      <c r="B167" s="365" t="s">
        <v>382</v>
      </c>
      <c r="C167" s="366"/>
      <c r="D167" s="366"/>
      <c r="E167" s="366"/>
      <c r="F167" s="366"/>
      <c r="G167" s="367"/>
      <c r="H167" s="213">
        <f>'Inserir dados na planilha'!I61</f>
        <v>0.05</v>
      </c>
      <c r="I167" s="16">
        <f>ROUNDUP(($I$160/(1-$H$170))*H167,2)</f>
        <v>799.87</v>
      </c>
    </row>
    <row r="168" spans="1:9" ht="13" x14ac:dyDescent="0.25">
      <c r="A168" s="520" t="s">
        <v>75</v>
      </c>
      <c r="B168" s="520"/>
      <c r="C168" s="520"/>
      <c r="D168" s="520"/>
      <c r="E168" s="520"/>
      <c r="F168" s="520"/>
      <c r="G168" s="520"/>
      <c r="H168" s="520"/>
      <c r="I168" s="158">
        <f>SUM(I157+I159+I163+I164+I167)</f>
        <v>3344.9299999999994</v>
      </c>
    </row>
    <row r="169" spans="1:9" x14ac:dyDescent="0.25">
      <c r="A169" s="505"/>
      <c r="B169" s="505"/>
      <c r="C169" s="505"/>
      <c r="D169" s="505"/>
      <c r="E169" s="505"/>
      <c r="F169" s="505"/>
      <c r="G169" s="505"/>
      <c r="H169" s="505"/>
      <c r="I169" s="505"/>
    </row>
    <row r="170" spans="1:9" ht="14.25" customHeight="1" x14ac:dyDescent="0.25">
      <c r="A170" s="549" t="s">
        <v>170</v>
      </c>
      <c r="B170" s="549"/>
      <c r="C170" s="549"/>
      <c r="D170" s="549"/>
      <c r="E170" s="549"/>
      <c r="F170" s="549"/>
      <c r="G170" s="549"/>
      <c r="H170" s="156">
        <f>SUM(H163:H167)</f>
        <v>8.6499999999999994E-2</v>
      </c>
      <c r="I170" s="147">
        <f>SUM(I163:I167)</f>
        <v>1383.79</v>
      </c>
    </row>
    <row r="171" spans="1:9" ht="13" x14ac:dyDescent="0.25">
      <c r="A171" s="550" t="s">
        <v>171</v>
      </c>
      <c r="B171" s="550"/>
      <c r="C171" s="551" t="s">
        <v>172</v>
      </c>
      <c r="D171" s="551"/>
      <c r="E171" s="551"/>
      <c r="F171" s="551"/>
      <c r="G171" s="551"/>
      <c r="H171" s="551"/>
      <c r="I171" s="552"/>
    </row>
    <row r="172" spans="1:9" ht="13" x14ac:dyDescent="0.25">
      <c r="A172" s="550"/>
      <c r="B172" s="550"/>
      <c r="C172" s="553" t="s">
        <v>173</v>
      </c>
      <c r="D172" s="553"/>
      <c r="E172" s="553"/>
      <c r="F172" s="553"/>
      <c r="G172" s="553"/>
      <c r="H172" s="553"/>
      <c r="I172" s="554"/>
    </row>
    <row r="173" spans="1:9" ht="13" x14ac:dyDescent="0.25">
      <c r="A173" s="550"/>
      <c r="B173" s="550"/>
      <c r="C173" s="555" t="s">
        <v>174</v>
      </c>
      <c r="D173" s="555"/>
      <c r="E173" s="555"/>
      <c r="F173" s="555"/>
      <c r="G173" s="555"/>
      <c r="H173" s="555"/>
      <c r="I173" s="556"/>
    </row>
    <row r="174" spans="1:9" x14ac:dyDescent="0.25">
      <c r="A174" s="500"/>
      <c r="B174" s="500"/>
      <c r="C174" s="500"/>
      <c r="D174" s="500"/>
      <c r="E174" s="500"/>
      <c r="F174" s="500"/>
      <c r="G174" s="500"/>
      <c r="H174" s="500"/>
      <c r="I174" s="500"/>
    </row>
    <row r="175" spans="1:9" x14ac:dyDescent="0.25">
      <c r="A175" s="513"/>
      <c r="B175" s="513"/>
      <c r="C175" s="513"/>
      <c r="D175" s="513"/>
      <c r="E175" s="513"/>
      <c r="F175" s="513"/>
      <c r="G175" s="513"/>
      <c r="H175" s="513"/>
      <c r="I175" s="513"/>
    </row>
    <row r="176" spans="1:9" x14ac:dyDescent="0.25">
      <c r="A176" s="505"/>
      <c r="B176" s="505"/>
      <c r="C176" s="505"/>
      <c r="D176" s="505"/>
      <c r="E176" s="505"/>
      <c r="F176" s="505"/>
      <c r="G176" s="505"/>
      <c r="H176" s="505"/>
      <c r="I176" s="505"/>
    </row>
    <row r="177" spans="1:9" ht="23.25" customHeight="1" x14ac:dyDescent="0.25">
      <c r="A177" s="557" t="s">
        <v>203</v>
      </c>
      <c r="B177" s="557"/>
      <c r="C177" s="557"/>
      <c r="D177" s="557"/>
      <c r="E177" s="557"/>
      <c r="F177" s="557"/>
      <c r="G177" s="557"/>
      <c r="H177" s="557"/>
      <c r="I177" s="557"/>
    </row>
    <row r="178" spans="1:9" ht="24.75" customHeight="1" x14ac:dyDescent="0.25">
      <c r="A178" s="558" t="s">
        <v>176</v>
      </c>
      <c r="B178" s="558"/>
      <c r="C178" s="558"/>
      <c r="D178" s="558"/>
      <c r="E178" s="558"/>
      <c r="F178" s="558"/>
      <c r="G178" s="558"/>
      <c r="H178" s="558"/>
      <c r="I178" s="154" t="s">
        <v>85</v>
      </c>
    </row>
    <row r="179" spans="1:9" ht="14.25" customHeight="1" x14ac:dyDescent="0.25">
      <c r="A179" s="178" t="s">
        <v>34</v>
      </c>
      <c r="B179" s="448" t="s">
        <v>177</v>
      </c>
      <c r="C179" s="448"/>
      <c r="D179" s="448"/>
      <c r="E179" s="448"/>
      <c r="F179" s="448"/>
      <c r="G179" s="448"/>
      <c r="H179" s="448"/>
      <c r="I179" s="173">
        <f>I53</f>
        <v>5793.54</v>
      </c>
    </row>
    <row r="180" spans="1:9" ht="14.25" customHeight="1" x14ac:dyDescent="0.25">
      <c r="A180" s="178" t="s">
        <v>36</v>
      </c>
      <c r="B180" s="448" t="s">
        <v>80</v>
      </c>
      <c r="C180" s="448"/>
      <c r="D180" s="448"/>
      <c r="E180" s="448"/>
      <c r="F180" s="448"/>
      <c r="G180" s="448"/>
      <c r="H180" s="448"/>
      <c r="I180" s="173">
        <f>I104</f>
        <v>4194.5</v>
      </c>
    </row>
    <row r="181" spans="1:9" ht="14.25" customHeight="1" x14ac:dyDescent="0.25">
      <c r="A181" s="178" t="s">
        <v>38</v>
      </c>
      <c r="B181" s="448" t="s">
        <v>178</v>
      </c>
      <c r="C181" s="448"/>
      <c r="D181" s="448"/>
      <c r="E181" s="448"/>
      <c r="F181" s="448"/>
      <c r="G181" s="448"/>
      <c r="H181" s="448"/>
      <c r="I181" s="173">
        <f>I114</f>
        <v>444.34</v>
      </c>
    </row>
    <row r="182" spans="1:9" ht="14.25" customHeight="1" x14ac:dyDescent="0.25">
      <c r="A182" s="178" t="s">
        <v>40</v>
      </c>
      <c r="B182" s="448" t="s">
        <v>179</v>
      </c>
      <c r="C182" s="448"/>
      <c r="D182" s="448"/>
      <c r="E182" s="448"/>
      <c r="F182" s="448"/>
      <c r="G182" s="448"/>
      <c r="H182" s="448"/>
      <c r="I182" s="173">
        <f>I142</f>
        <v>1547.72</v>
      </c>
    </row>
    <row r="183" spans="1:9" ht="14.25" customHeight="1" x14ac:dyDescent="0.25">
      <c r="A183" s="178" t="s">
        <v>73</v>
      </c>
      <c r="B183" s="448" t="s">
        <v>180</v>
      </c>
      <c r="C183" s="448"/>
      <c r="D183" s="448"/>
      <c r="E183" s="448"/>
      <c r="F183" s="448"/>
      <c r="G183" s="448"/>
      <c r="H183" s="448"/>
      <c r="I183" s="173">
        <f>I150</f>
        <v>672.35</v>
      </c>
    </row>
    <row r="184" spans="1:9" ht="14.25" customHeight="1" x14ac:dyDescent="0.25">
      <c r="A184" s="503" t="s">
        <v>181</v>
      </c>
      <c r="B184" s="503"/>
      <c r="C184" s="503"/>
      <c r="D184" s="503"/>
      <c r="E184" s="503"/>
      <c r="F184" s="503"/>
      <c r="G184" s="503"/>
      <c r="H184" s="503"/>
      <c r="I184" s="166">
        <f>TRUNC(SUM(I179:I183),2)</f>
        <v>12652.45</v>
      </c>
    </row>
    <row r="185" spans="1:9" ht="14.25" customHeight="1" x14ac:dyDescent="0.25">
      <c r="A185" s="179" t="s">
        <v>76</v>
      </c>
      <c r="B185" s="496" t="s">
        <v>182</v>
      </c>
      <c r="C185" s="496"/>
      <c r="D185" s="496"/>
      <c r="E185" s="496"/>
      <c r="F185" s="496"/>
      <c r="G185" s="496"/>
      <c r="H185" s="496"/>
      <c r="I185" s="173">
        <f>I168</f>
        <v>3344.9299999999994</v>
      </c>
    </row>
    <row r="186" spans="1:9" ht="14.15" customHeight="1" x14ac:dyDescent="0.25">
      <c r="A186" s="503" t="s">
        <v>183</v>
      </c>
      <c r="B186" s="503"/>
      <c r="C186" s="503"/>
      <c r="D186" s="503"/>
      <c r="E186" s="503"/>
      <c r="F186" s="503"/>
      <c r="G186" s="503"/>
      <c r="H186" s="503"/>
      <c r="I186" s="166">
        <f>TRUNC(SUM(I184:I185),2)</f>
        <v>15997.38</v>
      </c>
    </row>
    <row r="187" spans="1:9" ht="13.5" customHeight="1" x14ac:dyDescent="0.25">
      <c r="A187" s="503" t="s">
        <v>184</v>
      </c>
      <c r="B187" s="503"/>
      <c r="C187" s="503"/>
      <c r="D187" s="503"/>
      <c r="E187" s="503"/>
      <c r="F187" s="503"/>
      <c r="G187" s="503"/>
      <c r="H187" s="503"/>
      <c r="I187" s="180">
        <f>H12</f>
        <v>1</v>
      </c>
    </row>
    <row r="188" spans="1:9" ht="13.5" customHeight="1" x14ac:dyDescent="0.25">
      <c r="A188" s="503" t="s">
        <v>204</v>
      </c>
      <c r="B188" s="503"/>
      <c r="C188" s="503"/>
      <c r="D188" s="503"/>
      <c r="E188" s="503"/>
      <c r="F188" s="503"/>
      <c r="G188" s="503"/>
      <c r="H188" s="503"/>
      <c r="I188" s="166">
        <f>I186/H37</f>
        <v>7998.69</v>
      </c>
    </row>
    <row r="189" spans="1:9" ht="13.5" customHeight="1" x14ac:dyDescent="0.25">
      <c r="A189" s="503" t="s">
        <v>186</v>
      </c>
      <c r="B189" s="503"/>
      <c r="C189" s="503"/>
      <c r="D189" s="503"/>
      <c r="E189" s="503"/>
      <c r="F189" s="503"/>
      <c r="G189" s="503"/>
      <c r="H189" s="503"/>
      <c r="I189" s="180">
        <f>H37</f>
        <v>2</v>
      </c>
    </row>
    <row r="190" spans="1:9" ht="14.25" customHeight="1" x14ac:dyDescent="0.25">
      <c r="A190" s="505"/>
      <c r="B190" s="505"/>
      <c r="C190" s="505"/>
      <c r="D190" s="505"/>
      <c r="E190" s="505"/>
      <c r="F190" s="505"/>
      <c r="G190" s="505"/>
      <c r="H190" s="505"/>
      <c r="I190" s="505"/>
    </row>
    <row r="191" spans="1:9" ht="14.25" customHeight="1" x14ac:dyDescent="0.25">
      <c r="A191" s="503" t="s">
        <v>187</v>
      </c>
      <c r="B191" s="503"/>
      <c r="C191" s="503"/>
      <c r="D191" s="503"/>
      <c r="E191" s="503"/>
      <c r="F191" s="503"/>
      <c r="G191" s="503"/>
      <c r="H191" s="503"/>
      <c r="I191" s="173">
        <f>I186*I187</f>
        <v>15997.38</v>
      </c>
    </row>
    <row r="192" spans="1:9" ht="14.25" customHeight="1" x14ac:dyDescent="0.25">
      <c r="A192" s="505"/>
      <c r="B192" s="505"/>
      <c r="C192" s="505"/>
      <c r="D192" s="505"/>
      <c r="E192" s="505"/>
      <c r="F192" s="505"/>
      <c r="G192" s="505"/>
      <c r="H192" s="505"/>
      <c r="I192" s="505"/>
    </row>
    <row r="193" spans="1:9" ht="18.75" customHeight="1" x14ac:dyDescent="0.25">
      <c r="A193" s="560" t="s">
        <v>188</v>
      </c>
      <c r="B193" s="560"/>
      <c r="C193" s="560"/>
      <c r="D193" s="560"/>
      <c r="E193" s="560"/>
      <c r="F193" s="560"/>
      <c r="G193" s="564">
        <f>I191*I187</f>
        <v>15997.38</v>
      </c>
      <c r="H193" s="564"/>
      <c r="I193" s="564"/>
    </row>
    <row r="194" spans="1:9" ht="17.5" x14ac:dyDescent="0.35">
      <c r="A194" s="559"/>
      <c r="B194" s="559"/>
      <c r="C194" s="559"/>
      <c r="D194" s="559"/>
      <c r="E194" s="559"/>
      <c r="F194" s="559"/>
      <c r="G194" s="559"/>
      <c r="H194" s="559"/>
      <c r="I194" s="559"/>
    </row>
    <row r="195" spans="1:9" ht="18.75" customHeight="1" x14ac:dyDescent="0.25">
      <c r="A195" s="560" t="s">
        <v>189</v>
      </c>
      <c r="B195" s="560"/>
      <c r="C195" s="560"/>
      <c r="D195" s="560"/>
      <c r="E195" s="560"/>
      <c r="F195" s="560"/>
      <c r="G195" s="561">
        <f>H9</f>
        <v>24</v>
      </c>
      <c r="H195" s="561"/>
      <c r="I195" s="561"/>
    </row>
    <row r="196" spans="1:9" ht="18.75" customHeight="1" x14ac:dyDescent="0.35">
      <c r="A196" s="559"/>
      <c r="B196" s="559"/>
      <c r="C196" s="559"/>
      <c r="D196" s="559"/>
      <c r="E196" s="559"/>
      <c r="F196" s="559"/>
      <c r="G196" s="559"/>
      <c r="H196" s="559"/>
      <c r="I196" s="559"/>
    </row>
    <row r="197" spans="1:9" ht="31.5" customHeight="1" x14ac:dyDescent="0.25">
      <c r="A197" s="562" t="s">
        <v>190</v>
      </c>
      <c r="B197" s="562"/>
      <c r="C197" s="562"/>
      <c r="D197" s="562"/>
      <c r="E197" s="562"/>
      <c r="F197" s="562"/>
      <c r="G197" s="563">
        <f>G193*G195</f>
        <v>383937.12</v>
      </c>
      <c r="H197" s="563"/>
      <c r="I197" s="563"/>
    </row>
    <row r="198" spans="1:9" ht="14.25" customHeight="1" x14ac:dyDescent="0.25">
      <c r="A198" s="505"/>
      <c r="B198" s="505"/>
      <c r="C198" s="505"/>
      <c r="D198" s="505"/>
      <c r="E198" s="505"/>
      <c r="F198" s="505"/>
      <c r="G198" s="505"/>
      <c r="H198" s="505"/>
      <c r="I198" s="505"/>
    </row>
  </sheetData>
  <sheetProtection algorithmName="SHA-512" hashValue="pY/kaSc80WnjzY819240fmZQ2qJ2iuQGhePUG63fcn1Cy+Th2dqT0A9Vrl/HjAOwqN6HXmd3uGRmUOfBQyyqLQ==" saltValue="9iaiRfmA0MGhIXHgG9eK7A==" spinCount="100000" sheet="1" objects="1" scenarios="1"/>
  <mergeCells count="259">
    <mergeCell ref="A198:I198"/>
    <mergeCell ref="A194:I194"/>
    <mergeCell ref="A195:F195"/>
    <mergeCell ref="G195:I195"/>
    <mergeCell ref="A196:I196"/>
    <mergeCell ref="A197:F197"/>
    <mergeCell ref="G197:I197"/>
    <mergeCell ref="A186:H186"/>
    <mergeCell ref="A187:H187"/>
    <mergeCell ref="A190:I190"/>
    <mergeCell ref="A191:H191"/>
    <mergeCell ref="A192:I192"/>
    <mergeCell ref="A193:F193"/>
    <mergeCell ref="G193:I193"/>
    <mergeCell ref="A189:H189"/>
    <mergeCell ref="A188:H188"/>
    <mergeCell ref="B180:H180"/>
    <mergeCell ref="B181:H181"/>
    <mergeCell ref="B182:H182"/>
    <mergeCell ref="B183:H183"/>
    <mergeCell ref="A184:H184"/>
    <mergeCell ref="B185:H185"/>
    <mergeCell ref="A174:I174"/>
    <mergeCell ref="A175:I175"/>
    <mergeCell ref="A176:I176"/>
    <mergeCell ref="A177:I177"/>
    <mergeCell ref="A178:H178"/>
    <mergeCell ref="B179:H179"/>
    <mergeCell ref="B166:G166"/>
    <mergeCell ref="B167:G167"/>
    <mergeCell ref="A168:H168"/>
    <mergeCell ref="A169:I169"/>
    <mergeCell ref="A170:G170"/>
    <mergeCell ref="A171:B173"/>
    <mergeCell ref="C171:I171"/>
    <mergeCell ref="C172:I172"/>
    <mergeCell ref="C173:I173"/>
    <mergeCell ref="A160:G160"/>
    <mergeCell ref="B161:G161"/>
    <mergeCell ref="B162:G162"/>
    <mergeCell ref="B163:G163"/>
    <mergeCell ref="B164:G164"/>
    <mergeCell ref="B165:G165"/>
    <mergeCell ref="A154:I154"/>
    <mergeCell ref="B155:G155"/>
    <mergeCell ref="A156:G156"/>
    <mergeCell ref="B157:G157"/>
    <mergeCell ref="A158:G158"/>
    <mergeCell ref="B159:G159"/>
    <mergeCell ref="B147:H147"/>
    <mergeCell ref="B148:H148"/>
    <mergeCell ref="B149:H149"/>
    <mergeCell ref="A150:H150"/>
    <mergeCell ref="A151:I151"/>
    <mergeCell ref="A152:I152"/>
    <mergeCell ref="B141:H141"/>
    <mergeCell ref="A142:H142"/>
    <mergeCell ref="A143:I143"/>
    <mergeCell ref="A144:I144"/>
    <mergeCell ref="B145:G145"/>
    <mergeCell ref="B146:G146"/>
    <mergeCell ref="B132:H132"/>
    <mergeCell ref="A136:H136"/>
    <mergeCell ref="A137:I137"/>
    <mergeCell ref="A138:I138"/>
    <mergeCell ref="B139:H139"/>
    <mergeCell ref="B140:H140"/>
    <mergeCell ref="B126:G126"/>
    <mergeCell ref="B127:G127"/>
    <mergeCell ref="A128:H128"/>
    <mergeCell ref="A129:I129"/>
    <mergeCell ref="A130:I130"/>
    <mergeCell ref="B131:H131"/>
    <mergeCell ref="B133:H133"/>
    <mergeCell ref="B134:H134"/>
    <mergeCell ref="B135:H135"/>
    <mergeCell ref="B120:G120"/>
    <mergeCell ref="B121:G121"/>
    <mergeCell ref="B122:G122"/>
    <mergeCell ref="B123:G123"/>
    <mergeCell ref="B124:G124"/>
    <mergeCell ref="B125:G125"/>
    <mergeCell ref="B113:G113"/>
    <mergeCell ref="A114:H114"/>
    <mergeCell ref="A115:I115"/>
    <mergeCell ref="A116:I116"/>
    <mergeCell ref="A117:I117"/>
    <mergeCell ref="A119:I119"/>
    <mergeCell ref="B107:G107"/>
    <mergeCell ref="B108:G108"/>
    <mergeCell ref="B109:G109"/>
    <mergeCell ref="B110:G110"/>
    <mergeCell ref="B111:G111"/>
    <mergeCell ref="B112:G112"/>
    <mergeCell ref="B101:H101"/>
    <mergeCell ref="B102:H102"/>
    <mergeCell ref="B103:H103"/>
    <mergeCell ref="A104:H104"/>
    <mergeCell ref="A105:I105"/>
    <mergeCell ref="A106:I106"/>
    <mergeCell ref="B95:H95"/>
    <mergeCell ref="A96:I96"/>
    <mergeCell ref="A97:I97"/>
    <mergeCell ref="A98:I98"/>
    <mergeCell ref="A99:I99"/>
    <mergeCell ref="B100:H100"/>
    <mergeCell ref="B89:G89"/>
    <mergeCell ref="B91:G91"/>
    <mergeCell ref="B92:G92"/>
    <mergeCell ref="B90:F90"/>
    <mergeCell ref="B93:G93"/>
    <mergeCell ref="B94:G94"/>
    <mergeCell ref="B83:G83"/>
    <mergeCell ref="B84:G84"/>
    <mergeCell ref="B85:G85"/>
    <mergeCell ref="B86:G86"/>
    <mergeCell ref="B87:H87"/>
    <mergeCell ref="B88:G88"/>
    <mergeCell ref="A76:G76"/>
    <mergeCell ref="A78:I78"/>
    <mergeCell ref="A79:I79"/>
    <mergeCell ref="A80:I80"/>
    <mergeCell ref="B81:H81"/>
    <mergeCell ref="B82:H82"/>
    <mergeCell ref="B70:C70"/>
    <mergeCell ref="B71:G71"/>
    <mergeCell ref="B72:G72"/>
    <mergeCell ref="B73:G73"/>
    <mergeCell ref="B74:G74"/>
    <mergeCell ref="B75:G75"/>
    <mergeCell ref="A64:I64"/>
    <mergeCell ref="A65:I65"/>
    <mergeCell ref="A66:I66"/>
    <mergeCell ref="B67:G67"/>
    <mergeCell ref="B68:G68"/>
    <mergeCell ref="B69:G69"/>
    <mergeCell ref="A58:I58"/>
    <mergeCell ref="B59:G59"/>
    <mergeCell ref="B60:G60"/>
    <mergeCell ref="B61:G61"/>
    <mergeCell ref="A62:H62"/>
    <mergeCell ref="A63:I63"/>
    <mergeCell ref="A52:I52"/>
    <mergeCell ref="A53:H53"/>
    <mergeCell ref="A54:I54"/>
    <mergeCell ref="A55:I55"/>
    <mergeCell ref="A56:I56"/>
    <mergeCell ref="A57:I57"/>
    <mergeCell ref="B46:G46"/>
    <mergeCell ref="B47:H47"/>
    <mergeCell ref="A48:H48"/>
    <mergeCell ref="A49:I49"/>
    <mergeCell ref="B50:H50"/>
    <mergeCell ref="A51:H51"/>
    <mergeCell ref="A40:I40"/>
    <mergeCell ref="A41:I41"/>
    <mergeCell ref="B42:G42"/>
    <mergeCell ref="B43:G43"/>
    <mergeCell ref="B44:G44"/>
    <mergeCell ref="B45:G45"/>
    <mergeCell ref="B36:G36"/>
    <mergeCell ref="H36:I36"/>
    <mergeCell ref="B37:G37"/>
    <mergeCell ref="H37:I37"/>
    <mergeCell ref="A38:I38"/>
    <mergeCell ref="A39:I39"/>
    <mergeCell ref="B33:G33"/>
    <mergeCell ref="H33:I33"/>
    <mergeCell ref="B34:G34"/>
    <mergeCell ref="H34:I34"/>
    <mergeCell ref="B35:G35"/>
    <mergeCell ref="H35:I35"/>
    <mergeCell ref="B30:G30"/>
    <mergeCell ref="H30:I30"/>
    <mergeCell ref="B31:G31"/>
    <mergeCell ref="H31:I31"/>
    <mergeCell ref="B32:G32"/>
    <mergeCell ref="H32:I32"/>
    <mergeCell ref="B27:G27"/>
    <mergeCell ref="H27:I27"/>
    <mergeCell ref="B28:G28"/>
    <mergeCell ref="H28:I28"/>
    <mergeCell ref="B29:G29"/>
    <mergeCell ref="H29:I29"/>
    <mergeCell ref="B24:F24"/>
    <mergeCell ref="H24:I24"/>
    <mergeCell ref="B25:G25"/>
    <mergeCell ref="H25:I25"/>
    <mergeCell ref="B26:G26"/>
    <mergeCell ref="H26:I26"/>
    <mergeCell ref="IH20:IO20"/>
    <mergeCell ref="B21:G21"/>
    <mergeCell ref="H21:I21"/>
    <mergeCell ref="B22:G22"/>
    <mergeCell ref="H22:I22"/>
    <mergeCell ref="B23:G23"/>
    <mergeCell ref="H23:I23"/>
    <mergeCell ref="GL20:GS20"/>
    <mergeCell ref="GT20:HA20"/>
    <mergeCell ref="HB20:HI20"/>
    <mergeCell ref="HJ20:HQ20"/>
    <mergeCell ref="HR20:HY20"/>
    <mergeCell ref="HZ20:IG20"/>
    <mergeCell ref="EP20:EW20"/>
    <mergeCell ref="EX20:FE20"/>
    <mergeCell ref="FF20:FM20"/>
    <mergeCell ref="FN20:FU20"/>
    <mergeCell ref="FV20:GC20"/>
    <mergeCell ref="GD20:GK20"/>
    <mergeCell ref="CT20:DA20"/>
    <mergeCell ref="DB20:DI20"/>
    <mergeCell ref="DJ20:DQ20"/>
    <mergeCell ref="DR20:DY20"/>
    <mergeCell ref="DZ20:EG20"/>
    <mergeCell ref="EH20:EO20"/>
    <mergeCell ref="AX20:BE20"/>
    <mergeCell ref="BF20:BM20"/>
    <mergeCell ref="BN20:BU20"/>
    <mergeCell ref="BV20:CC20"/>
    <mergeCell ref="CD20:CK20"/>
    <mergeCell ref="CL20:CS20"/>
    <mergeCell ref="J20:Q20"/>
    <mergeCell ref="R20:Y20"/>
    <mergeCell ref="Z20:AG20"/>
    <mergeCell ref="AH20:AO20"/>
    <mergeCell ref="AP20:AW20"/>
    <mergeCell ref="A16:I16"/>
    <mergeCell ref="A17:I17"/>
    <mergeCell ref="A18:I18"/>
    <mergeCell ref="B19:G19"/>
    <mergeCell ref="H19:I19"/>
    <mergeCell ref="B20:G20"/>
    <mergeCell ref="H20:I20"/>
    <mergeCell ref="A12:E12"/>
    <mergeCell ref="F12:G12"/>
    <mergeCell ref="H12:I12"/>
    <mergeCell ref="A13:I13"/>
    <mergeCell ref="A14:I14"/>
    <mergeCell ref="A15:I15"/>
    <mergeCell ref="B9:G9"/>
    <mergeCell ref="H9:I9"/>
    <mergeCell ref="A10:I10"/>
    <mergeCell ref="A11:E11"/>
    <mergeCell ref="F11:G11"/>
    <mergeCell ref="H11:I11"/>
    <mergeCell ref="A5:I5"/>
    <mergeCell ref="B6:G6"/>
    <mergeCell ref="H6:I6"/>
    <mergeCell ref="B7:G7"/>
    <mergeCell ref="H7:I7"/>
    <mergeCell ref="B8:G8"/>
    <mergeCell ref="H8:I8"/>
    <mergeCell ref="A1:I1"/>
    <mergeCell ref="A2:E2"/>
    <mergeCell ref="F2:I2"/>
    <mergeCell ref="A3:E3"/>
    <mergeCell ref="F3:I3"/>
    <mergeCell ref="A4:E4"/>
    <mergeCell ref="F4:I4"/>
  </mergeCells>
  <pageMargins left="0.78740157480314965" right="0.78740157480314965" top="1.0629921259842521" bottom="1.0629921259842521" header="0.78740157480314965" footer="0.78740157480314965"/>
  <pageSetup paperSize="9" scale="80" orientation="portrait" horizontalDpi="300" verticalDpi="300" r:id="rId1"/>
  <headerFooter>
    <oddHeader>&amp;L&amp;A</oddHeader>
    <oddFooter>Página &amp;P&amp;R</oddFooter>
  </headerFooter>
  <rowBreaks count="3" manualBreakCount="3">
    <brk id="40" max="8" man="1"/>
    <brk id="79" max="8" man="1"/>
    <brk id="129" max="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154"/>
  <sheetViews>
    <sheetView zoomScale="115" zoomScaleNormal="115" workbookViewId="0"/>
  </sheetViews>
  <sheetFormatPr defaultColWidth="8.83203125" defaultRowHeight="14.5" x14ac:dyDescent="0.3"/>
  <cols>
    <col min="1" max="1" width="9.33203125" style="66" customWidth="1"/>
    <col min="2" max="2" width="10.5" style="66" customWidth="1"/>
    <col min="3" max="7" width="10.33203125" style="66" customWidth="1"/>
    <col min="8" max="8" width="12.83203125" style="66" customWidth="1"/>
    <col min="9" max="9" width="12.08203125" style="66" customWidth="1"/>
    <col min="10" max="10" width="12.58203125" style="66" customWidth="1"/>
    <col min="11" max="257" width="10.33203125" style="66" customWidth="1"/>
    <col min="258" max="1024" width="8.83203125" style="66"/>
  </cols>
  <sheetData>
    <row r="1" spans="1:10" ht="21.75" customHeight="1" x14ac:dyDescent="0.3">
      <c r="A1" s="595" t="s">
        <v>205</v>
      </c>
      <c r="B1" s="595"/>
      <c r="C1" s="595"/>
      <c r="D1" s="595"/>
      <c r="E1" s="595"/>
      <c r="F1" s="595"/>
      <c r="G1" s="595"/>
      <c r="H1" s="595"/>
      <c r="I1" s="595"/>
      <c r="J1" s="595"/>
    </row>
    <row r="2" spans="1:10" ht="19.5" customHeight="1" x14ac:dyDescent="0.3">
      <c r="A2" s="596" t="s">
        <v>30</v>
      </c>
      <c r="B2" s="596"/>
      <c r="C2" s="596"/>
      <c r="D2" s="596"/>
      <c r="E2" s="596"/>
      <c r="F2" s="596"/>
      <c r="G2" s="596"/>
      <c r="H2" s="596"/>
      <c r="I2" s="596"/>
      <c r="J2" s="596"/>
    </row>
    <row r="3" spans="1:10" ht="19.5" customHeight="1" x14ac:dyDescent="0.3">
      <c r="A3" s="568" t="s">
        <v>206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ht="19.5" customHeight="1" x14ac:dyDescent="0.3">
      <c r="A4" s="568" t="s">
        <v>207</v>
      </c>
      <c r="B4" s="568"/>
      <c r="C4" s="568"/>
      <c r="D4" s="568"/>
      <c r="E4" s="568"/>
      <c r="F4" s="568"/>
      <c r="G4" s="568"/>
      <c r="H4" s="568"/>
      <c r="I4" s="568"/>
      <c r="J4" s="568"/>
    </row>
    <row r="5" spans="1:10" ht="18.75" customHeight="1" x14ac:dyDescent="0.35">
      <c r="A5" s="567"/>
      <c r="B5" s="567"/>
      <c r="C5" s="567"/>
      <c r="D5" s="567"/>
      <c r="E5" s="567"/>
      <c r="F5" s="567"/>
      <c r="G5" s="567"/>
      <c r="H5" s="567"/>
      <c r="I5" s="567"/>
      <c r="J5" s="567"/>
    </row>
    <row r="6" spans="1:10" ht="19.5" customHeight="1" x14ac:dyDescent="0.3">
      <c r="A6" s="570" t="s">
        <v>33</v>
      </c>
      <c r="B6" s="570"/>
      <c r="C6" s="570"/>
      <c r="D6" s="570"/>
      <c r="E6" s="570"/>
      <c r="F6" s="570"/>
      <c r="G6" s="570"/>
      <c r="H6" s="570"/>
      <c r="I6" s="570"/>
      <c r="J6" s="570"/>
    </row>
    <row r="7" spans="1:10" ht="19.5" customHeight="1" x14ac:dyDescent="0.35">
      <c r="A7" s="67" t="s">
        <v>34</v>
      </c>
      <c r="B7" s="568" t="s">
        <v>35</v>
      </c>
      <c r="C7" s="568"/>
      <c r="D7" s="568"/>
      <c r="E7" s="568"/>
      <c r="F7" s="568"/>
      <c r="G7" s="568"/>
      <c r="H7" s="597" t="s">
        <v>164</v>
      </c>
      <c r="I7" s="597"/>
      <c r="J7" s="597"/>
    </row>
    <row r="8" spans="1:10" ht="19.5" customHeight="1" x14ac:dyDescent="0.3">
      <c r="A8" s="67" t="s">
        <v>36</v>
      </c>
      <c r="B8" s="568" t="s">
        <v>37</v>
      </c>
      <c r="C8" s="568"/>
      <c r="D8" s="568"/>
      <c r="E8" s="568"/>
      <c r="F8" s="568"/>
      <c r="G8" s="568"/>
      <c r="H8" s="593" t="s">
        <v>164</v>
      </c>
      <c r="I8" s="593"/>
      <c r="J8" s="593"/>
    </row>
    <row r="9" spans="1:10" ht="19.5" customHeight="1" x14ac:dyDescent="0.3">
      <c r="A9" s="67" t="s">
        <v>38</v>
      </c>
      <c r="B9" s="568" t="s">
        <v>39</v>
      </c>
      <c r="C9" s="568"/>
      <c r="D9" s="568"/>
      <c r="E9" s="568"/>
      <c r="F9" s="568"/>
      <c r="G9" s="568"/>
      <c r="H9" s="593" t="s">
        <v>208</v>
      </c>
      <c r="I9" s="593"/>
      <c r="J9" s="593"/>
    </row>
    <row r="10" spans="1:10" ht="19.5" customHeight="1" x14ac:dyDescent="0.3">
      <c r="A10" s="67" t="s">
        <v>40</v>
      </c>
      <c r="B10" s="568" t="s">
        <v>41</v>
      </c>
      <c r="C10" s="568"/>
      <c r="D10" s="568"/>
      <c r="E10" s="568"/>
      <c r="F10" s="568"/>
      <c r="G10" s="568"/>
      <c r="H10" s="594">
        <v>20</v>
      </c>
      <c r="I10" s="594"/>
      <c r="J10" s="594"/>
    </row>
    <row r="11" spans="1:10" ht="18.75" customHeight="1" x14ac:dyDescent="0.35">
      <c r="A11" s="567"/>
      <c r="B11" s="567"/>
      <c r="C11" s="567"/>
      <c r="D11" s="567"/>
      <c r="E11" s="567"/>
      <c r="F11" s="567"/>
      <c r="G11" s="567"/>
      <c r="H11" s="567"/>
      <c r="I11" s="567"/>
      <c r="J11" s="567"/>
    </row>
    <row r="12" spans="1:10" ht="48" customHeight="1" x14ac:dyDescent="0.3">
      <c r="A12" s="570" t="s">
        <v>209</v>
      </c>
      <c r="B12" s="570"/>
      <c r="C12" s="570"/>
      <c r="D12" s="570"/>
      <c r="E12" s="570"/>
      <c r="F12" s="570"/>
      <c r="G12" s="570"/>
      <c r="H12" s="570"/>
      <c r="I12" s="570"/>
      <c r="J12" s="570"/>
    </row>
    <row r="13" spans="1:10" ht="18.75" customHeight="1" x14ac:dyDescent="0.35">
      <c r="A13" s="567"/>
      <c r="B13" s="567"/>
      <c r="C13" s="567"/>
      <c r="D13" s="567"/>
      <c r="E13" s="567"/>
      <c r="F13" s="567"/>
      <c r="G13" s="567"/>
      <c r="H13" s="567"/>
      <c r="I13" s="567"/>
      <c r="J13" s="567"/>
    </row>
    <row r="14" spans="1:10" ht="19.5" customHeight="1" x14ac:dyDescent="0.3">
      <c r="A14" s="586" t="s">
        <v>210</v>
      </c>
      <c r="B14" s="586"/>
      <c r="C14" s="586"/>
      <c r="D14" s="586"/>
      <c r="E14" s="586"/>
      <c r="F14" s="586"/>
      <c r="G14" s="586"/>
      <c r="H14" s="586"/>
      <c r="I14" s="586"/>
      <c r="J14" s="586"/>
    </row>
    <row r="15" spans="1:10" ht="19.5" customHeight="1" x14ac:dyDescent="0.3">
      <c r="A15" s="67">
        <v>1</v>
      </c>
      <c r="B15" s="568" t="s">
        <v>48</v>
      </c>
      <c r="C15" s="568"/>
      <c r="D15" s="568"/>
      <c r="E15" s="568"/>
      <c r="F15" s="568"/>
      <c r="G15" s="568"/>
      <c r="H15" s="575" t="s">
        <v>211</v>
      </c>
      <c r="I15" s="575"/>
      <c r="J15" s="575"/>
    </row>
    <row r="16" spans="1:10" ht="19.5" customHeight="1" x14ac:dyDescent="0.3">
      <c r="A16" s="67">
        <v>2</v>
      </c>
      <c r="B16" s="568" t="s">
        <v>49</v>
      </c>
      <c r="C16" s="568"/>
      <c r="D16" s="568"/>
      <c r="E16" s="568"/>
      <c r="F16" s="568"/>
      <c r="G16" s="568"/>
      <c r="H16" s="575">
        <v>5134</v>
      </c>
      <c r="I16" s="575"/>
      <c r="J16" s="575"/>
    </row>
    <row r="17" spans="1:10" ht="19.5" customHeight="1" x14ac:dyDescent="0.3">
      <c r="A17" s="67">
        <v>3</v>
      </c>
      <c r="B17" s="568" t="s">
        <v>212</v>
      </c>
      <c r="C17" s="568"/>
      <c r="D17" s="568"/>
      <c r="E17" s="568"/>
      <c r="F17" s="568"/>
      <c r="G17" s="568"/>
      <c r="H17" s="591">
        <v>1224.55</v>
      </c>
      <c r="I17" s="591"/>
      <c r="J17" s="591"/>
    </row>
    <row r="18" spans="1:10" ht="19.5" customHeight="1" x14ac:dyDescent="0.3">
      <c r="A18" s="67">
        <v>4</v>
      </c>
      <c r="B18" s="568" t="s">
        <v>51</v>
      </c>
      <c r="C18" s="568"/>
      <c r="D18" s="568"/>
      <c r="E18" s="568"/>
      <c r="F18" s="568"/>
      <c r="G18" s="568"/>
      <c r="H18" s="575" t="s">
        <v>211</v>
      </c>
      <c r="I18" s="575"/>
      <c r="J18" s="575"/>
    </row>
    <row r="19" spans="1:10" ht="19.5" customHeight="1" x14ac:dyDescent="0.3">
      <c r="A19" s="67">
        <v>5</v>
      </c>
      <c r="B19" s="568" t="s">
        <v>213</v>
      </c>
      <c r="C19" s="568"/>
      <c r="D19" s="568"/>
      <c r="E19" s="568"/>
      <c r="F19" s="568"/>
      <c r="G19" s="568"/>
      <c r="H19" s="592">
        <v>43831</v>
      </c>
      <c r="I19" s="592"/>
      <c r="J19" s="592"/>
    </row>
    <row r="20" spans="1:10" ht="18.75" customHeight="1" x14ac:dyDescent="0.35">
      <c r="A20" s="567"/>
      <c r="B20" s="567"/>
      <c r="C20" s="567"/>
      <c r="D20" s="567"/>
      <c r="E20" s="567"/>
      <c r="F20" s="567"/>
      <c r="G20" s="567"/>
      <c r="H20" s="567"/>
      <c r="I20" s="567"/>
      <c r="J20" s="567"/>
    </row>
    <row r="21" spans="1:10" ht="19.5" customHeight="1" x14ac:dyDescent="0.3">
      <c r="A21" s="577" t="s">
        <v>214</v>
      </c>
      <c r="B21" s="577"/>
      <c r="C21" s="577"/>
      <c r="D21" s="577"/>
      <c r="E21" s="577"/>
      <c r="F21" s="577"/>
      <c r="G21" s="577"/>
      <c r="H21" s="577"/>
      <c r="I21" s="577"/>
      <c r="J21" s="577"/>
    </row>
    <row r="22" spans="1:10" ht="19.5" customHeight="1" x14ac:dyDescent="0.3">
      <c r="A22" s="70">
        <v>1</v>
      </c>
      <c r="B22" s="579" t="s">
        <v>65</v>
      </c>
      <c r="C22" s="579"/>
      <c r="D22" s="579"/>
      <c r="E22" s="579"/>
      <c r="F22" s="579"/>
      <c r="G22" s="579"/>
      <c r="H22" s="579"/>
      <c r="I22" s="579"/>
      <c r="J22" s="70" t="s">
        <v>85</v>
      </c>
    </row>
    <row r="23" spans="1:10" ht="19.5" customHeight="1" x14ac:dyDescent="0.3">
      <c r="A23" s="67" t="s">
        <v>34</v>
      </c>
      <c r="B23" s="568" t="s">
        <v>215</v>
      </c>
      <c r="C23" s="568"/>
      <c r="D23" s="568"/>
      <c r="E23" s="568"/>
      <c r="F23" s="568"/>
      <c r="G23" s="568"/>
      <c r="H23" s="568"/>
      <c r="I23" s="568"/>
      <c r="J23" s="71">
        <f>H17</f>
        <v>1224.55</v>
      </c>
    </row>
    <row r="24" spans="1:10" ht="19.5" customHeight="1" x14ac:dyDescent="0.3">
      <c r="A24" s="67" t="s">
        <v>36</v>
      </c>
      <c r="B24" s="568" t="s">
        <v>74</v>
      </c>
      <c r="C24" s="568"/>
      <c r="D24" s="568"/>
      <c r="E24" s="568"/>
      <c r="F24" s="568"/>
      <c r="G24" s="568"/>
      <c r="H24" s="568"/>
      <c r="I24" s="568"/>
      <c r="J24" s="72"/>
    </row>
    <row r="25" spans="1:10" ht="19.5" customHeight="1" x14ac:dyDescent="0.3">
      <c r="A25" s="580" t="s">
        <v>75</v>
      </c>
      <c r="B25" s="580"/>
      <c r="C25" s="580"/>
      <c r="D25" s="580"/>
      <c r="E25" s="580"/>
      <c r="F25" s="580"/>
      <c r="G25" s="580"/>
      <c r="H25" s="580"/>
      <c r="I25" s="580"/>
      <c r="J25" s="73">
        <f>SUM(J23:J24)</f>
        <v>1224.55</v>
      </c>
    </row>
    <row r="26" spans="1:10" ht="18.75" customHeight="1" x14ac:dyDescent="0.35">
      <c r="A26" s="567"/>
      <c r="B26" s="567"/>
      <c r="C26" s="567"/>
      <c r="D26" s="567"/>
      <c r="E26" s="567"/>
      <c r="F26" s="567"/>
      <c r="G26" s="567"/>
      <c r="H26" s="567"/>
      <c r="I26" s="567"/>
      <c r="J26" s="567"/>
    </row>
    <row r="27" spans="1:10" ht="19.5" customHeight="1" x14ac:dyDescent="0.3">
      <c r="A27" s="577" t="s">
        <v>216</v>
      </c>
      <c r="B27" s="577"/>
      <c r="C27" s="577"/>
      <c r="D27" s="577"/>
      <c r="E27" s="577"/>
      <c r="F27" s="577"/>
      <c r="G27" s="577"/>
      <c r="H27" s="577"/>
      <c r="I27" s="577"/>
      <c r="J27" s="577"/>
    </row>
    <row r="28" spans="1:10" ht="20.25" customHeight="1" x14ac:dyDescent="0.3">
      <c r="A28" s="587" t="s">
        <v>217</v>
      </c>
      <c r="B28" s="587"/>
      <c r="C28" s="587"/>
      <c r="D28" s="587"/>
      <c r="E28" s="587"/>
      <c r="F28" s="587"/>
      <c r="G28" s="587"/>
      <c r="H28" s="587"/>
      <c r="I28" s="587"/>
      <c r="J28" s="587"/>
    </row>
    <row r="29" spans="1:10" ht="19.5" customHeight="1" x14ac:dyDescent="0.3">
      <c r="A29" s="74" t="s">
        <v>82</v>
      </c>
      <c r="B29" s="590" t="s">
        <v>118</v>
      </c>
      <c r="C29" s="590"/>
      <c r="D29" s="590"/>
      <c r="E29" s="590"/>
      <c r="F29" s="590"/>
      <c r="G29" s="590"/>
      <c r="H29" s="590"/>
      <c r="I29" s="590"/>
      <c r="J29" s="75" t="s">
        <v>85</v>
      </c>
    </row>
    <row r="30" spans="1:10" ht="41.25" customHeight="1" x14ac:dyDescent="0.3">
      <c r="A30" s="76" t="s">
        <v>34</v>
      </c>
      <c r="B30" s="568" t="s">
        <v>218</v>
      </c>
      <c r="C30" s="568"/>
      <c r="D30" s="568"/>
      <c r="E30" s="568"/>
      <c r="F30" s="568"/>
      <c r="G30" s="568"/>
      <c r="H30" s="568"/>
      <c r="I30" s="77">
        <v>8.3299999999999999E-2</v>
      </c>
      <c r="J30" s="78">
        <f>ROUND($J$25*I30,2)</f>
        <v>102.01</v>
      </c>
    </row>
    <row r="31" spans="1:10" ht="19.5" customHeight="1" x14ac:dyDescent="0.3">
      <c r="A31" s="76" t="s">
        <v>36</v>
      </c>
      <c r="B31" s="589" t="s">
        <v>87</v>
      </c>
      <c r="C31" s="589"/>
      <c r="D31" s="589"/>
      <c r="E31" s="589"/>
      <c r="F31" s="589"/>
      <c r="G31" s="589"/>
      <c r="H31" s="589"/>
      <c r="I31" s="79">
        <v>3.0249999999999999E-2</v>
      </c>
      <c r="J31" s="78">
        <f>ROUND($J$25*I31,2)</f>
        <v>37.04</v>
      </c>
    </row>
    <row r="32" spans="1:10" ht="18.75" customHeight="1" x14ac:dyDescent="0.3">
      <c r="A32" s="574" t="s">
        <v>75</v>
      </c>
      <c r="B32" s="574"/>
      <c r="C32" s="574"/>
      <c r="D32" s="574"/>
      <c r="E32" s="574"/>
      <c r="F32" s="574"/>
      <c r="G32" s="574"/>
      <c r="H32" s="574"/>
      <c r="I32" s="574"/>
      <c r="J32" s="80">
        <f>SUM(J30+J31)</f>
        <v>139.05000000000001</v>
      </c>
    </row>
    <row r="33" spans="1:13" ht="18.75" customHeight="1" x14ac:dyDescent="0.35">
      <c r="A33" s="76" t="s">
        <v>38</v>
      </c>
      <c r="B33" s="573" t="s">
        <v>219</v>
      </c>
      <c r="C33" s="573"/>
      <c r="D33" s="573"/>
      <c r="E33" s="573"/>
      <c r="F33" s="573"/>
      <c r="G33" s="573"/>
      <c r="H33" s="573"/>
      <c r="I33" s="573"/>
      <c r="J33" s="81">
        <f>ROUND(I46*J32,2)</f>
        <v>49.75</v>
      </c>
      <c r="M33" s="82"/>
    </row>
    <row r="34" spans="1:13" ht="18.75" customHeight="1" x14ac:dyDescent="0.3">
      <c r="A34" s="574" t="s">
        <v>75</v>
      </c>
      <c r="B34" s="574"/>
      <c r="C34" s="574"/>
      <c r="D34" s="574"/>
      <c r="E34" s="574"/>
      <c r="F34" s="574"/>
      <c r="G34" s="574"/>
      <c r="H34" s="574"/>
      <c r="I34" s="574"/>
      <c r="J34" s="83">
        <f>J32+J33</f>
        <v>188.8</v>
      </c>
    </row>
    <row r="35" spans="1:13" ht="18.75" customHeight="1" x14ac:dyDescent="0.35">
      <c r="A35" s="567"/>
      <c r="B35" s="567"/>
      <c r="C35" s="567"/>
      <c r="D35" s="567"/>
      <c r="E35" s="567"/>
      <c r="F35" s="567"/>
      <c r="G35" s="567"/>
      <c r="H35" s="567"/>
      <c r="I35" s="567"/>
      <c r="J35" s="567"/>
    </row>
    <row r="36" spans="1:13" ht="18.75" customHeight="1" x14ac:dyDescent="0.3">
      <c r="A36" s="587" t="s">
        <v>220</v>
      </c>
      <c r="B36" s="587"/>
      <c r="C36" s="587"/>
      <c r="D36" s="587"/>
      <c r="E36" s="587"/>
      <c r="F36" s="587"/>
      <c r="G36" s="587"/>
      <c r="H36" s="587"/>
      <c r="I36" s="587"/>
      <c r="J36" s="587"/>
    </row>
    <row r="37" spans="1:13" ht="19.5" customHeight="1" x14ac:dyDescent="0.3">
      <c r="A37" s="74" t="s">
        <v>89</v>
      </c>
      <c r="B37" s="582" t="s">
        <v>90</v>
      </c>
      <c r="C37" s="582"/>
      <c r="D37" s="582"/>
      <c r="E37" s="582"/>
      <c r="F37" s="582"/>
      <c r="G37" s="582"/>
      <c r="H37" s="582"/>
      <c r="I37" s="75" t="s">
        <v>221</v>
      </c>
      <c r="J37" s="75" t="s">
        <v>85</v>
      </c>
    </row>
    <row r="38" spans="1:13" ht="18.75" customHeight="1" x14ac:dyDescent="0.3">
      <c r="A38" s="76" t="s">
        <v>34</v>
      </c>
      <c r="B38" s="573" t="s">
        <v>91</v>
      </c>
      <c r="C38" s="573"/>
      <c r="D38" s="573"/>
      <c r="E38" s="573"/>
      <c r="F38" s="573"/>
      <c r="G38" s="573"/>
      <c r="H38" s="573"/>
      <c r="I38" s="84">
        <v>0.2</v>
      </c>
      <c r="J38" s="81">
        <f t="shared" ref="J38:J45" si="0">ROUND($J$25*I38,2)</f>
        <v>244.91</v>
      </c>
    </row>
    <row r="39" spans="1:13" ht="18.75" customHeight="1" x14ac:dyDescent="0.3">
      <c r="A39" s="76" t="s">
        <v>36</v>
      </c>
      <c r="B39" s="573" t="s">
        <v>92</v>
      </c>
      <c r="C39" s="573"/>
      <c r="D39" s="573"/>
      <c r="E39" s="573"/>
      <c r="F39" s="573"/>
      <c r="G39" s="573"/>
      <c r="H39" s="573"/>
      <c r="I39" s="84">
        <v>2.5000000000000001E-2</v>
      </c>
      <c r="J39" s="81">
        <f t="shared" si="0"/>
        <v>30.61</v>
      </c>
    </row>
    <row r="40" spans="1:13" ht="42" customHeight="1" x14ac:dyDescent="0.3">
      <c r="A40" s="76" t="s">
        <v>38</v>
      </c>
      <c r="B40" s="568" t="s">
        <v>222</v>
      </c>
      <c r="C40" s="568"/>
      <c r="D40" s="568"/>
      <c r="E40" s="67" t="s">
        <v>94</v>
      </c>
      <c r="F40" s="85">
        <v>0.02</v>
      </c>
      <c r="G40" s="67" t="s">
        <v>95</v>
      </c>
      <c r="H40" s="86">
        <v>0.99</v>
      </c>
      <c r="I40" s="87">
        <f>ROUND((F40*H40),6)</f>
        <v>1.9800000000000002E-2</v>
      </c>
      <c r="J40" s="81">
        <f t="shared" si="0"/>
        <v>24.25</v>
      </c>
    </row>
    <row r="41" spans="1:13" ht="18.75" customHeight="1" x14ac:dyDescent="0.3">
      <c r="A41" s="76" t="s">
        <v>40</v>
      </c>
      <c r="B41" s="573" t="s">
        <v>96</v>
      </c>
      <c r="C41" s="573"/>
      <c r="D41" s="573"/>
      <c r="E41" s="573"/>
      <c r="F41" s="573"/>
      <c r="G41" s="573"/>
      <c r="H41" s="573"/>
      <c r="I41" s="84">
        <v>1.4999999999999999E-2</v>
      </c>
      <c r="J41" s="81">
        <f t="shared" si="0"/>
        <v>18.37</v>
      </c>
    </row>
    <row r="42" spans="1:13" ht="18.75" customHeight="1" x14ac:dyDescent="0.3">
      <c r="A42" s="76" t="s">
        <v>73</v>
      </c>
      <c r="B42" s="573" t="s">
        <v>97</v>
      </c>
      <c r="C42" s="573"/>
      <c r="D42" s="573"/>
      <c r="E42" s="573"/>
      <c r="F42" s="573"/>
      <c r="G42" s="573"/>
      <c r="H42" s="573"/>
      <c r="I42" s="84">
        <v>0.01</v>
      </c>
      <c r="J42" s="81">
        <f t="shared" si="0"/>
        <v>12.25</v>
      </c>
    </row>
    <row r="43" spans="1:13" ht="18.75" customHeight="1" x14ac:dyDescent="0.3">
      <c r="A43" s="76" t="s">
        <v>76</v>
      </c>
      <c r="B43" s="573" t="s">
        <v>98</v>
      </c>
      <c r="C43" s="573"/>
      <c r="D43" s="573"/>
      <c r="E43" s="573"/>
      <c r="F43" s="573"/>
      <c r="G43" s="573"/>
      <c r="H43" s="573"/>
      <c r="I43" s="84">
        <v>6.0000000000000001E-3</v>
      </c>
      <c r="J43" s="81">
        <f t="shared" si="0"/>
        <v>7.35</v>
      </c>
    </row>
    <row r="44" spans="1:13" ht="18.75" customHeight="1" x14ac:dyDescent="0.3">
      <c r="A44" s="76" t="s">
        <v>99</v>
      </c>
      <c r="B44" s="573" t="s">
        <v>100</v>
      </c>
      <c r="C44" s="573"/>
      <c r="D44" s="573"/>
      <c r="E44" s="573"/>
      <c r="F44" s="573"/>
      <c r="G44" s="573"/>
      <c r="H44" s="573"/>
      <c r="I44" s="84">
        <v>2E-3</v>
      </c>
      <c r="J44" s="81">
        <f t="shared" si="0"/>
        <v>2.4500000000000002</v>
      </c>
    </row>
    <row r="45" spans="1:13" ht="18.75" customHeight="1" x14ac:dyDescent="0.3">
      <c r="A45" s="76" t="s">
        <v>101</v>
      </c>
      <c r="B45" s="573" t="s">
        <v>102</v>
      </c>
      <c r="C45" s="573"/>
      <c r="D45" s="573"/>
      <c r="E45" s="573"/>
      <c r="F45" s="573"/>
      <c r="G45" s="573"/>
      <c r="H45" s="573"/>
      <c r="I45" s="84">
        <v>0.08</v>
      </c>
      <c r="J45" s="81">
        <f t="shared" si="0"/>
        <v>97.96</v>
      </c>
    </row>
    <row r="46" spans="1:13" ht="18.75" customHeight="1" x14ac:dyDescent="0.3">
      <c r="A46" s="574" t="s">
        <v>75</v>
      </c>
      <c r="B46" s="574"/>
      <c r="C46" s="574"/>
      <c r="D46" s="574"/>
      <c r="E46" s="574"/>
      <c r="F46" s="574"/>
      <c r="G46" s="574"/>
      <c r="H46" s="574"/>
      <c r="I46" s="88">
        <f>SUM(I38:I45)</f>
        <v>0.35780000000000006</v>
      </c>
      <c r="J46" s="83">
        <f>SUM(J38:J45)</f>
        <v>438.15</v>
      </c>
    </row>
    <row r="47" spans="1:13" ht="18.75" customHeight="1" x14ac:dyDescent="0.35">
      <c r="A47" s="567"/>
      <c r="B47" s="567"/>
      <c r="C47" s="567"/>
      <c r="D47" s="567"/>
      <c r="E47" s="567"/>
      <c r="F47" s="567"/>
      <c r="G47" s="567"/>
      <c r="H47" s="567"/>
      <c r="I47" s="567"/>
      <c r="J47" s="567"/>
    </row>
    <row r="48" spans="1:13" ht="18.75" customHeight="1" x14ac:dyDescent="0.3">
      <c r="A48" s="587" t="s">
        <v>103</v>
      </c>
      <c r="B48" s="587"/>
      <c r="C48" s="587"/>
      <c r="D48" s="587"/>
      <c r="E48" s="587"/>
      <c r="F48" s="587"/>
      <c r="G48" s="587"/>
      <c r="H48" s="587"/>
      <c r="I48" s="587"/>
      <c r="J48" s="587"/>
    </row>
    <row r="49" spans="1:10" ht="19.5" customHeight="1" x14ac:dyDescent="0.3">
      <c r="A49" s="74" t="s">
        <v>104</v>
      </c>
      <c r="B49" s="582" t="s">
        <v>105</v>
      </c>
      <c r="C49" s="582"/>
      <c r="D49" s="582"/>
      <c r="E49" s="582"/>
      <c r="F49" s="582"/>
      <c r="G49" s="582"/>
      <c r="H49" s="582"/>
      <c r="I49" s="582"/>
      <c r="J49" s="75" t="s">
        <v>85</v>
      </c>
    </row>
    <row r="50" spans="1:10" ht="30.75" customHeight="1" x14ac:dyDescent="0.3">
      <c r="A50" s="588" t="s">
        <v>34</v>
      </c>
      <c r="B50" s="568" t="s">
        <v>223</v>
      </c>
      <c r="C50" s="568"/>
      <c r="D50" s="568"/>
      <c r="E50" s="568"/>
      <c r="F50" s="568"/>
      <c r="G50" s="568"/>
      <c r="H50" s="568"/>
      <c r="I50" s="568"/>
      <c r="J50" s="81">
        <f>IF(ROUND((I53*I51*I52)-(J23*0.06),2)&lt;0,0,ROUND((I53*I51*I52)-(J23*0.06),2))*1+(I51*I52*21.726-0.06*J23)*0</f>
        <v>84.93</v>
      </c>
    </row>
    <row r="51" spans="1:10" ht="18.75" customHeight="1" x14ac:dyDescent="0.3">
      <c r="A51" s="588"/>
      <c r="B51" s="573" t="s">
        <v>224</v>
      </c>
      <c r="C51" s="573"/>
      <c r="D51" s="573"/>
      <c r="E51" s="573"/>
      <c r="F51" s="573"/>
      <c r="G51" s="573"/>
      <c r="H51" s="573"/>
      <c r="I51" s="89">
        <v>3.6</v>
      </c>
      <c r="J51" s="90" t="s">
        <v>164</v>
      </c>
    </row>
    <row r="52" spans="1:10" ht="18.75" customHeight="1" x14ac:dyDescent="0.3">
      <c r="A52" s="588"/>
      <c r="B52" s="573" t="s">
        <v>225</v>
      </c>
      <c r="C52" s="573"/>
      <c r="D52" s="573"/>
      <c r="E52" s="573"/>
      <c r="F52" s="573"/>
      <c r="G52" s="573"/>
      <c r="H52" s="573"/>
      <c r="I52" s="91">
        <v>2</v>
      </c>
      <c r="J52" s="90" t="s">
        <v>164</v>
      </c>
    </row>
    <row r="53" spans="1:10" ht="18.75" customHeight="1" x14ac:dyDescent="0.3">
      <c r="A53" s="588"/>
      <c r="B53" s="573" t="s">
        <v>226</v>
      </c>
      <c r="C53" s="573"/>
      <c r="D53" s="573"/>
      <c r="E53" s="573"/>
      <c r="F53" s="573"/>
      <c r="G53" s="573"/>
      <c r="H53" s="573"/>
      <c r="I53" s="92">
        <v>22</v>
      </c>
      <c r="J53" s="90" t="s">
        <v>164</v>
      </c>
    </row>
    <row r="54" spans="1:10" ht="30.75" customHeight="1" x14ac:dyDescent="0.3">
      <c r="A54" s="588" t="s">
        <v>36</v>
      </c>
      <c r="B54" s="568" t="s">
        <v>227</v>
      </c>
      <c r="C54" s="568"/>
      <c r="D54" s="568"/>
      <c r="E54" s="568"/>
      <c r="F54" s="568"/>
      <c r="G54" s="568"/>
      <c r="H54" s="568"/>
      <c r="I54" s="568"/>
      <c r="J54" s="81">
        <f>ROUND(I56*I55*(1-0.01),2)*1+ROUND(21.726*6*(1-0.01),2)*0</f>
        <v>435.6</v>
      </c>
    </row>
    <row r="55" spans="1:10" ht="18.75" customHeight="1" x14ac:dyDescent="0.3">
      <c r="A55" s="588"/>
      <c r="B55" s="573" t="s">
        <v>228</v>
      </c>
      <c r="C55" s="573"/>
      <c r="D55" s="573"/>
      <c r="E55" s="573"/>
      <c r="F55" s="573"/>
      <c r="G55" s="573"/>
      <c r="H55" s="573"/>
      <c r="I55" s="89">
        <v>20</v>
      </c>
      <c r="J55" s="90" t="s">
        <v>164</v>
      </c>
    </row>
    <row r="56" spans="1:10" ht="18.75" customHeight="1" x14ac:dyDescent="0.3">
      <c r="A56" s="588"/>
      <c r="B56" s="573" t="s">
        <v>229</v>
      </c>
      <c r="C56" s="573"/>
      <c r="D56" s="573"/>
      <c r="E56" s="573"/>
      <c r="F56" s="573"/>
      <c r="G56" s="573"/>
      <c r="H56" s="573"/>
      <c r="I56" s="92">
        <v>22</v>
      </c>
      <c r="J56" s="90" t="s">
        <v>164</v>
      </c>
    </row>
    <row r="57" spans="1:10" ht="19.5" customHeight="1" x14ac:dyDescent="0.3">
      <c r="A57" s="76" t="s">
        <v>38</v>
      </c>
      <c r="B57" s="568" t="s">
        <v>230</v>
      </c>
      <c r="C57" s="568"/>
      <c r="D57" s="568"/>
      <c r="E57" s="568"/>
      <c r="F57" s="568"/>
      <c r="G57" s="568"/>
      <c r="H57" s="568"/>
      <c r="I57" s="568"/>
      <c r="J57" s="81" t="s">
        <v>71</v>
      </c>
    </row>
    <row r="58" spans="1:10" ht="19.5" customHeight="1" x14ac:dyDescent="0.3">
      <c r="A58" s="76" t="s">
        <v>40</v>
      </c>
      <c r="B58" s="568" t="s">
        <v>231</v>
      </c>
      <c r="C58" s="568"/>
      <c r="D58" s="568"/>
      <c r="E58" s="568"/>
      <c r="F58" s="568"/>
      <c r="G58" s="568"/>
      <c r="H58" s="568"/>
      <c r="I58" s="568"/>
      <c r="J58" s="81">
        <v>0.25</v>
      </c>
    </row>
    <row r="59" spans="1:10" ht="19.5" customHeight="1" x14ac:dyDescent="0.3">
      <c r="A59" s="76" t="s">
        <v>73</v>
      </c>
      <c r="B59" s="568" t="s">
        <v>232</v>
      </c>
      <c r="C59" s="568"/>
      <c r="D59" s="568"/>
      <c r="E59" s="568"/>
      <c r="F59" s="568"/>
      <c r="G59" s="568"/>
      <c r="H59" s="568"/>
      <c r="I59" s="568"/>
      <c r="J59" s="93">
        <v>75</v>
      </c>
    </row>
    <row r="60" spans="1:10" ht="19.5" customHeight="1" x14ac:dyDescent="0.3">
      <c r="A60" s="76" t="s">
        <v>76</v>
      </c>
      <c r="B60" s="573" t="s">
        <v>233</v>
      </c>
      <c r="C60" s="573"/>
      <c r="D60" s="573"/>
      <c r="E60" s="573"/>
      <c r="F60" s="573"/>
      <c r="G60" s="573"/>
      <c r="H60" s="573"/>
      <c r="I60" s="573"/>
      <c r="J60" s="93">
        <v>1.8</v>
      </c>
    </row>
    <row r="61" spans="1:10" ht="18.75" customHeight="1" x14ac:dyDescent="0.3">
      <c r="A61" s="574" t="s">
        <v>75</v>
      </c>
      <c r="B61" s="574"/>
      <c r="C61" s="574"/>
      <c r="D61" s="574"/>
      <c r="E61" s="574"/>
      <c r="F61" s="574"/>
      <c r="G61" s="574"/>
      <c r="H61" s="574"/>
      <c r="I61" s="574"/>
      <c r="J61" s="83">
        <f>SUM(J50:J60)</f>
        <v>597.57999999999993</v>
      </c>
    </row>
    <row r="62" spans="1:10" ht="18.75" customHeight="1" x14ac:dyDescent="0.35">
      <c r="A62" s="567"/>
      <c r="B62" s="567"/>
      <c r="C62" s="567"/>
      <c r="D62" s="567"/>
      <c r="E62" s="567"/>
      <c r="F62" s="567"/>
      <c r="G62" s="567"/>
      <c r="H62" s="567"/>
      <c r="I62" s="567"/>
      <c r="J62" s="567"/>
    </row>
    <row r="63" spans="1:10" ht="18.75" customHeight="1" x14ac:dyDescent="0.3">
      <c r="A63" s="587" t="s">
        <v>234</v>
      </c>
      <c r="B63" s="587"/>
      <c r="C63" s="587"/>
      <c r="D63" s="587"/>
      <c r="E63" s="587"/>
      <c r="F63" s="587"/>
      <c r="G63" s="587"/>
      <c r="H63" s="587"/>
      <c r="I63" s="587"/>
      <c r="J63" s="587"/>
    </row>
    <row r="64" spans="1:10" ht="19.5" customHeight="1" x14ac:dyDescent="0.3">
      <c r="A64" s="70">
        <v>2</v>
      </c>
      <c r="B64" s="579" t="s">
        <v>117</v>
      </c>
      <c r="C64" s="579"/>
      <c r="D64" s="579"/>
      <c r="E64" s="579"/>
      <c r="F64" s="579"/>
      <c r="G64" s="579"/>
      <c r="H64" s="579"/>
      <c r="I64" s="579"/>
      <c r="J64" s="70" t="s">
        <v>85</v>
      </c>
    </row>
    <row r="65" spans="1:11" ht="19.5" customHeight="1" x14ac:dyDescent="0.3">
      <c r="A65" s="67" t="s">
        <v>82</v>
      </c>
      <c r="B65" s="568" t="s">
        <v>118</v>
      </c>
      <c r="C65" s="568"/>
      <c r="D65" s="568"/>
      <c r="E65" s="568"/>
      <c r="F65" s="568"/>
      <c r="G65" s="568"/>
      <c r="H65" s="568"/>
      <c r="I65" s="568"/>
      <c r="J65" s="94">
        <f>J34</f>
        <v>188.8</v>
      </c>
    </row>
    <row r="66" spans="1:11" ht="19.5" customHeight="1" x14ac:dyDescent="0.3">
      <c r="A66" s="67" t="s">
        <v>89</v>
      </c>
      <c r="B66" s="568" t="s">
        <v>90</v>
      </c>
      <c r="C66" s="568"/>
      <c r="D66" s="568"/>
      <c r="E66" s="568"/>
      <c r="F66" s="568"/>
      <c r="G66" s="568"/>
      <c r="H66" s="568"/>
      <c r="I66" s="568"/>
      <c r="J66" s="94">
        <f>J46</f>
        <v>438.15</v>
      </c>
    </row>
    <row r="67" spans="1:11" ht="19.5" customHeight="1" x14ac:dyDescent="0.3">
      <c r="A67" s="67" t="s">
        <v>104</v>
      </c>
      <c r="B67" s="568" t="s">
        <v>105</v>
      </c>
      <c r="C67" s="568"/>
      <c r="D67" s="568"/>
      <c r="E67" s="568"/>
      <c r="F67" s="568"/>
      <c r="G67" s="568"/>
      <c r="H67" s="568"/>
      <c r="I67" s="568"/>
      <c r="J67" s="94">
        <f>J61</f>
        <v>597.57999999999993</v>
      </c>
    </row>
    <row r="68" spans="1:11" ht="19.5" customHeight="1" x14ac:dyDescent="0.3">
      <c r="A68" s="580" t="s">
        <v>75</v>
      </c>
      <c r="B68" s="580"/>
      <c r="C68" s="580"/>
      <c r="D68" s="580"/>
      <c r="E68" s="580"/>
      <c r="F68" s="580"/>
      <c r="G68" s="580"/>
      <c r="H68" s="580"/>
      <c r="I68" s="580"/>
      <c r="J68" s="95">
        <f>SUM(J65+J66+J67)</f>
        <v>1224.53</v>
      </c>
    </row>
    <row r="69" spans="1:11" ht="18.75" customHeight="1" x14ac:dyDescent="0.35">
      <c r="A69" s="567"/>
      <c r="B69" s="567"/>
      <c r="C69" s="567"/>
      <c r="D69" s="567"/>
      <c r="E69" s="567"/>
      <c r="F69" s="567"/>
      <c r="G69" s="567"/>
      <c r="H69" s="567"/>
      <c r="I69" s="567"/>
      <c r="J69" s="567"/>
    </row>
    <row r="70" spans="1:11" ht="19.5" customHeight="1" x14ac:dyDescent="0.3">
      <c r="A70" s="577" t="s">
        <v>235</v>
      </c>
      <c r="B70" s="577"/>
      <c r="C70" s="577"/>
      <c r="D70" s="577"/>
      <c r="E70" s="577"/>
      <c r="F70" s="577"/>
      <c r="G70" s="577"/>
      <c r="H70" s="577"/>
      <c r="I70" s="577"/>
      <c r="J70" s="577"/>
    </row>
    <row r="71" spans="1:11" ht="19.5" customHeight="1" x14ac:dyDescent="0.3">
      <c r="A71" s="96">
        <v>3</v>
      </c>
      <c r="B71" s="579" t="s">
        <v>120</v>
      </c>
      <c r="C71" s="579"/>
      <c r="D71" s="579"/>
      <c r="E71" s="579"/>
      <c r="F71" s="579"/>
      <c r="G71" s="579"/>
      <c r="H71" s="579"/>
      <c r="I71" s="579"/>
      <c r="J71" s="96" t="s">
        <v>121</v>
      </c>
    </row>
    <row r="72" spans="1:11" ht="42" customHeight="1" x14ac:dyDescent="0.3">
      <c r="A72" s="76" t="s">
        <v>34</v>
      </c>
      <c r="B72" s="568" t="s">
        <v>236</v>
      </c>
      <c r="C72" s="568"/>
      <c r="D72" s="568"/>
      <c r="E72" s="568"/>
      <c r="F72" s="568"/>
      <c r="G72" s="568"/>
      <c r="H72" s="568"/>
      <c r="I72" s="568"/>
      <c r="J72" s="81">
        <f>ROUND((($J$25/12)+($J$30/12)+($J$25/12/12)+($J$31/12))*(3/30)*0.05,2)</f>
        <v>0.61</v>
      </c>
      <c r="K72" s="97"/>
    </row>
    <row r="73" spans="1:11" ht="19.5" customHeight="1" x14ac:dyDescent="0.3">
      <c r="A73" s="76" t="s">
        <v>36</v>
      </c>
      <c r="B73" s="568" t="s">
        <v>123</v>
      </c>
      <c r="C73" s="568"/>
      <c r="D73" s="568"/>
      <c r="E73" s="568"/>
      <c r="F73" s="568"/>
      <c r="G73" s="568"/>
      <c r="H73" s="568"/>
      <c r="I73" s="568"/>
      <c r="J73" s="81">
        <f>ROUND($J$72*I45,2)</f>
        <v>0.05</v>
      </c>
    </row>
    <row r="74" spans="1:11" ht="42" customHeight="1" x14ac:dyDescent="0.3">
      <c r="A74" s="76" t="s">
        <v>38</v>
      </c>
      <c r="B74" s="568" t="s">
        <v>237</v>
      </c>
      <c r="C74" s="568"/>
      <c r="D74" s="568"/>
      <c r="E74" s="568"/>
      <c r="F74" s="568"/>
      <c r="G74" s="568"/>
      <c r="H74" s="568"/>
      <c r="I74" s="98">
        <v>1.9E-3</v>
      </c>
      <c r="J74" s="81">
        <f>ROUND($J$25*I74,2)</f>
        <v>2.33</v>
      </c>
    </row>
    <row r="75" spans="1:11" ht="42" customHeight="1" x14ac:dyDescent="0.3">
      <c r="A75" s="76" t="s">
        <v>40</v>
      </c>
      <c r="B75" s="568" t="s">
        <v>238</v>
      </c>
      <c r="C75" s="568"/>
      <c r="D75" s="568"/>
      <c r="E75" s="568"/>
      <c r="F75" s="568"/>
      <c r="G75" s="568"/>
      <c r="H75" s="568"/>
      <c r="I75" s="568"/>
      <c r="J75" s="81">
        <f>0.00194*J25</f>
        <v>2.3756270000000002</v>
      </c>
    </row>
    <row r="76" spans="1:11" ht="19.5" customHeight="1" x14ac:dyDescent="0.3">
      <c r="A76" s="76" t="s">
        <v>73</v>
      </c>
      <c r="B76" s="568" t="s">
        <v>239</v>
      </c>
      <c r="C76" s="568"/>
      <c r="D76" s="568"/>
      <c r="E76" s="568"/>
      <c r="F76" s="568"/>
      <c r="G76" s="568"/>
      <c r="H76" s="568"/>
      <c r="I76" s="568"/>
      <c r="J76" s="81">
        <f>J75*I46</f>
        <v>0.84999934060000015</v>
      </c>
    </row>
    <row r="77" spans="1:11" ht="42" customHeight="1" x14ac:dyDescent="0.3">
      <c r="A77" s="76" t="s">
        <v>76</v>
      </c>
      <c r="B77" s="568" t="s">
        <v>240</v>
      </c>
      <c r="C77" s="568"/>
      <c r="D77" s="568"/>
      <c r="E77" s="568"/>
      <c r="F77" s="568"/>
      <c r="G77" s="568"/>
      <c r="H77" s="568"/>
      <c r="I77" s="98">
        <v>3.8100000000000002E-2</v>
      </c>
      <c r="J77" s="81">
        <f>ROUND($J$25*I77,2)</f>
        <v>46.66</v>
      </c>
    </row>
    <row r="78" spans="1:11" ht="18.75" customHeight="1" x14ac:dyDescent="0.3">
      <c r="A78" s="574" t="s">
        <v>75</v>
      </c>
      <c r="B78" s="574"/>
      <c r="C78" s="574"/>
      <c r="D78" s="574"/>
      <c r="E78" s="574"/>
      <c r="F78" s="574"/>
      <c r="G78" s="574"/>
      <c r="H78" s="574"/>
      <c r="I78" s="574"/>
      <c r="J78" s="83">
        <f>SUM(J72:J77)</f>
        <v>52.875626340599993</v>
      </c>
    </row>
    <row r="79" spans="1:11" ht="18.75" customHeight="1" x14ac:dyDescent="0.35">
      <c r="A79" s="567"/>
      <c r="B79" s="567"/>
      <c r="C79" s="567"/>
      <c r="D79" s="567"/>
      <c r="E79" s="567"/>
      <c r="F79" s="567"/>
      <c r="G79" s="567"/>
      <c r="H79" s="567"/>
      <c r="I79" s="567"/>
      <c r="J79" s="567"/>
    </row>
    <row r="80" spans="1:11" ht="19.5" customHeight="1" x14ac:dyDescent="0.3">
      <c r="A80" s="577" t="s">
        <v>241</v>
      </c>
      <c r="B80" s="577"/>
      <c r="C80" s="577"/>
      <c r="D80" s="577"/>
      <c r="E80" s="577"/>
      <c r="F80" s="577"/>
      <c r="G80" s="577"/>
      <c r="H80" s="577"/>
      <c r="I80" s="577"/>
      <c r="J80" s="577"/>
    </row>
    <row r="81" spans="1:10" ht="30.75" customHeight="1" x14ac:dyDescent="0.3">
      <c r="A81" s="585" t="s">
        <v>242</v>
      </c>
      <c r="B81" s="585"/>
      <c r="C81" s="585"/>
      <c r="D81" s="585"/>
      <c r="E81" s="585"/>
      <c r="F81" s="585"/>
      <c r="G81" s="585"/>
      <c r="H81" s="585"/>
      <c r="I81" s="585"/>
      <c r="J81" s="99">
        <f>J85+J25+J30+J31</f>
        <v>1474.7299999999998</v>
      </c>
    </row>
    <row r="82" spans="1:10" ht="18.75" customHeight="1" x14ac:dyDescent="0.35">
      <c r="A82" s="567"/>
      <c r="B82" s="567"/>
      <c r="C82" s="567"/>
      <c r="D82" s="567"/>
      <c r="E82" s="567"/>
      <c r="F82" s="567"/>
      <c r="G82" s="567"/>
      <c r="H82" s="567"/>
      <c r="I82" s="567"/>
      <c r="J82" s="567"/>
    </row>
    <row r="83" spans="1:10" ht="19.5" customHeight="1" x14ac:dyDescent="0.3">
      <c r="A83" s="586" t="s">
        <v>243</v>
      </c>
      <c r="B83" s="586"/>
      <c r="C83" s="586"/>
      <c r="D83" s="586"/>
      <c r="E83" s="586"/>
      <c r="F83" s="586"/>
      <c r="G83" s="586"/>
      <c r="H83" s="586"/>
      <c r="I83" s="586"/>
      <c r="J83" s="586"/>
    </row>
    <row r="84" spans="1:10" ht="18.75" customHeight="1" x14ac:dyDescent="0.3">
      <c r="A84" s="74" t="s">
        <v>134</v>
      </c>
      <c r="B84" s="582" t="s">
        <v>244</v>
      </c>
      <c r="C84" s="582"/>
      <c r="D84" s="582"/>
      <c r="E84" s="582"/>
      <c r="F84" s="582"/>
      <c r="G84" s="582"/>
      <c r="H84" s="582"/>
      <c r="I84" s="582"/>
      <c r="J84" s="74" t="s">
        <v>85</v>
      </c>
    </row>
    <row r="85" spans="1:10" ht="42" customHeight="1" x14ac:dyDescent="0.3">
      <c r="A85" s="76" t="s">
        <v>34</v>
      </c>
      <c r="B85" s="568" t="s">
        <v>245</v>
      </c>
      <c r="C85" s="568"/>
      <c r="D85" s="568"/>
      <c r="E85" s="568"/>
      <c r="F85" s="568"/>
      <c r="G85" s="568"/>
      <c r="H85" s="568"/>
      <c r="I85" s="79">
        <v>9.0749999999999997E-2</v>
      </c>
      <c r="J85" s="81">
        <f>ROUND(($J$25*I85),2)</f>
        <v>111.13</v>
      </c>
    </row>
    <row r="86" spans="1:10" ht="30.75" customHeight="1" x14ac:dyDescent="0.3">
      <c r="A86" s="76" t="s">
        <v>36</v>
      </c>
      <c r="B86" s="568" t="s">
        <v>246</v>
      </c>
      <c r="C86" s="568"/>
      <c r="D86" s="568"/>
      <c r="E86" s="568"/>
      <c r="F86" s="568"/>
      <c r="G86" s="568"/>
      <c r="H86" s="568"/>
      <c r="I86" s="568"/>
      <c r="J86" s="91">
        <f>ROUND((($J$81/30)*2.96)/12,2)</f>
        <v>12.13</v>
      </c>
    </row>
    <row r="87" spans="1:10" ht="30.75" customHeight="1" x14ac:dyDescent="0.3">
      <c r="A87" s="76" t="s">
        <v>38</v>
      </c>
      <c r="B87" s="568" t="s">
        <v>247</v>
      </c>
      <c r="C87" s="568"/>
      <c r="D87" s="568"/>
      <c r="E87" s="568"/>
      <c r="F87" s="568"/>
      <c r="G87" s="568"/>
      <c r="H87" s="568"/>
      <c r="I87" s="568"/>
      <c r="J87" s="91">
        <f>ROUND((($J$81/30)*5)/12*0.015,2)</f>
        <v>0.31</v>
      </c>
    </row>
    <row r="88" spans="1:10" ht="30.75" customHeight="1" x14ac:dyDescent="0.3">
      <c r="A88" s="76" t="s">
        <v>40</v>
      </c>
      <c r="B88" s="568" t="s">
        <v>248</v>
      </c>
      <c r="C88" s="568"/>
      <c r="D88" s="568"/>
      <c r="E88" s="568"/>
      <c r="F88" s="568"/>
      <c r="G88" s="568"/>
      <c r="H88" s="568"/>
      <c r="I88" s="568"/>
      <c r="J88" s="81">
        <f>ROUND(((($J$81/30)*15)/12)*0.0078,2)</f>
        <v>0.48</v>
      </c>
    </row>
    <row r="89" spans="1:10" ht="30.75" customHeight="1" x14ac:dyDescent="0.3">
      <c r="A89" s="76" t="s">
        <v>73</v>
      </c>
      <c r="B89" s="568" t="s">
        <v>249</v>
      </c>
      <c r="C89" s="568"/>
      <c r="D89" s="568"/>
      <c r="E89" s="568"/>
      <c r="F89" s="568"/>
      <c r="G89" s="568"/>
      <c r="H89" s="568"/>
      <c r="I89" s="568"/>
      <c r="J89" s="81">
        <f>ROUND(((($J$25+$J$25/3)*4/12)/12)*0.02,2)</f>
        <v>0.91</v>
      </c>
    </row>
    <row r="90" spans="1:10" ht="30.75" customHeight="1" x14ac:dyDescent="0.3">
      <c r="A90" s="76" t="s">
        <v>76</v>
      </c>
      <c r="B90" s="568" t="s">
        <v>250</v>
      </c>
      <c r="C90" s="568"/>
      <c r="D90" s="568"/>
      <c r="E90" s="568"/>
      <c r="F90" s="568"/>
      <c r="G90" s="568"/>
      <c r="H90" s="568"/>
      <c r="I90" s="568"/>
      <c r="J90" s="81">
        <f>ROUND(((($J$81/30)*5)/12),2)</f>
        <v>20.48</v>
      </c>
    </row>
    <row r="91" spans="1:10" ht="18.75" customHeight="1" x14ac:dyDescent="0.3">
      <c r="A91" s="583" t="s">
        <v>75</v>
      </c>
      <c r="B91" s="583"/>
      <c r="C91" s="583"/>
      <c r="D91" s="583"/>
      <c r="E91" s="583"/>
      <c r="F91" s="583"/>
      <c r="G91" s="583"/>
      <c r="H91" s="583"/>
      <c r="I91" s="583"/>
      <c r="J91" s="81">
        <f>SUM(J85:J90)</f>
        <v>145.44</v>
      </c>
    </row>
    <row r="92" spans="1:10" ht="18.75" customHeight="1" x14ac:dyDescent="0.3">
      <c r="A92" s="76" t="s">
        <v>99</v>
      </c>
      <c r="B92" s="573" t="s">
        <v>251</v>
      </c>
      <c r="C92" s="573"/>
      <c r="D92" s="573"/>
      <c r="E92" s="573"/>
      <c r="F92" s="573"/>
      <c r="G92" s="573"/>
      <c r="H92" s="573"/>
      <c r="I92" s="573"/>
      <c r="J92" s="81">
        <f>ROUND(I46*J91,2)</f>
        <v>52.04</v>
      </c>
    </row>
    <row r="93" spans="1:10" ht="18.75" customHeight="1" x14ac:dyDescent="0.3">
      <c r="A93" s="574" t="s">
        <v>75</v>
      </c>
      <c r="B93" s="574"/>
      <c r="C93" s="574"/>
      <c r="D93" s="574"/>
      <c r="E93" s="574"/>
      <c r="F93" s="574"/>
      <c r="G93" s="574"/>
      <c r="H93" s="574"/>
      <c r="I93" s="574"/>
      <c r="J93" s="83">
        <f>SUM(J91:J92)</f>
        <v>197.48</v>
      </c>
    </row>
    <row r="94" spans="1:10" ht="18.75" customHeight="1" x14ac:dyDescent="0.35">
      <c r="A94" s="82"/>
      <c r="B94" s="82"/>
      <c r="C94" s="82"/>
      <c r="D94" s="82"/>
      <c r="E94" s="82"/>
      <c r="F94" s="82"/>
      <c r="G94" s="82"/>
      <c r="H94" s="82"/>
      <c r="I94" s="82"/>
      <c r="J94" s="82"/>
    </row>
    <row r="95" spans="1:10" ht="19.5" customHeight="1" x14ac:dyDescent="0.3">
      <c r="A95" s="581" t="s">
        <v>252</v>
      </c>
      <c r="B95" s="581"/>
      <c r="C95" s="581"/>
      <c r="D95" s="581"/>
      <c r="E95" s="581"/>
      <c r="F95" s="581"/>
      <c r="G95" s="581"/>
      <c r="H95" s="581"/>
      <c r="I95" s="581"/>
      <c r="J95" s="581"/>
    </row>
    <row r="96" spans="1:10" ht="18.75" customHeight="1" x14ac:dyDescent="0.3">
      <c r="A96" s="74" t="s">
        <v>145</v>
      </c>
      <c r="B96" s="582" t="s">
        <v>62</v>
      </c>
      <c r="C96" s="582"/>
      <c r="D96" s="582"/>
      <c r="E96" s="582"/>
      <c r="F96" s="582"/>
      <c r="G96" s="582"/>
      <c r="H96" s="582"/>
      <c r="I96" s="582"/>
      <c r="J96" s="101" t="s">
        <v>85</v>
      </c>
    </row>
    <row r="97" spans="1:12" ht="18.75" customHeight="1" x14ac:dyDescent="0.3">
      <c r="A97" s="76" t="s">
        <v>34</v>
      </c>
      <c r="B97" s="573" t="s">
        <v>253</v>
      </c>
      <c r="C97" s="573"/>
      <c r="D97" s="573"/>
      <c r="E97" s="573"/>
      <c r="F97" s="573"/>
      <c r="G97" s="573"/>
      <c r="H97" s="573"/>
      <c r="I97" s="573"/>
      <c r="J97" s="81">
        <v>0</v>
      </c>
    </row>
    <row r="98" spans="1:12" ht="18.75" customHeight="1" x14ac:dyDescent="0.3">
      <c r="A98" s="583" t="s">
        <v>75</v>
      </c>
      <c r="B98" s="583"/>
      <c r="C98" s="583"/>
      <c r="D98" s="583"/>
      <c r="E98" s="583"/>
      <c r="F98" s="583"/>
      <c r="G98" s="583"/>
      <c r="H98" s="583"/>
      <c r="I98" s="583"/>
      <c r="J98" s="81">
        <v>0</v>
      </c>
    </row>
    <row r="99" spans="1:12" ht="18.75" customHeight="1" x14ac:dyDescent="0.3">
      <c r="A99" s="76" t="s">
        <v>36</v>
      </c>
      <c r="B99" s="573" t="s">
        <v>254</v>
      </c>
      <c r="C99" s="573"/>
      <c r="D99" s="573"/>
      <c r="E99" s="573"/>
      <c r="F99" s="573"/>
      <c r="G99" s="573"/>
      <c r="H99" s="573"/>
      <c r="I99" s="573"/>
      <c r="J99" s="81">
        <f>ROUND(I46*J98,2)</f>
        <v>0</v>
      </c>
    </row>
    <row r="100" spans="1:12" ht="18.75" customHeight="1" x14ac:dyDescent="0.3">
      <c r="A100" s="574" t="s">
        <v>75</v>
      </c>
      <c r="B100" s="574"/>
      <c r="C100" s="574"/>
      <c r="D100" s="574"/>
      <c r="E100" s="574"/>
      <c r="F100" s="574"/>
      <c r="G100" s="574"/>
      <c r="H100" s="574"/>
      <c r="I100" s="574"/>
      <c r="J100" s="83">
        <f>SUM(J98:J99)</f>
        <v>0</v>
      </c>
    </row>
    <row r="101" spans="1:12" ht="18.75" customHeight="1" x14ac:dyDescent="0.35">
      <c r="A101" s="584"/>
      <c r="B101" s="584"/>
      <c r="C101" s="584"/>
      <c r="D101" s="584"/>
      <c r="E101" s="584"/>
      <c r="F101" s="584"/>
      <c r="G101" s="584"/>
      <c r="H101" s="584"/>
      <c r="I101" s="584"/>
      <c r="J101" s="584"/>
    </row>
    <row r="102" spans="1:12" ht="19.5" customHeight="1" x14ac:dyDescent="0.3">
      <c r="A102" s="581" t="s">
        <v>255</v>
      </c>
      <c r="B102" s="581"/>
      <c r="C102" s="581"/>
      <c r="D102" s="581"/>
      <c r="E102" s="581"/>
      <c r="F102" s="581"/>
      <c r="G102" s="581"/>
      <c r="H102" s="581"/>
      <c r="I102" s="581"/>
      <c r="J102" s="581"/>
    </row>
    <row r="103" spans="1:12" ht="19.5" customHeight="1" x14ac:dyDescent="0.3">
      <c r="A103" s="70">
        <v>4</v>
      </c>
      <c r="B103" s="579" t="s">
        <v>149</v>
      </c>
      <c r="C103" s="579"/>
      <c r="D103" s="579"/>
      <c r="E103" s="579"/>
      <c r="F103" s="579"/>
      <c r="G103" s="579"/>
      <c r="H103" s="579"/>
      <c r="I103" s="579"/>
      <c r="J103" s="102" t="s">
        <v>85</v>
      </c>
      <c r="L103" s="103"/>
    </row>
    <row r="104" spans="1:12" ht="19.5" customHeight="1" x14ac:dyDescent="0.3">
      <c r="A104" s="67" t="s">
        <v>134</v>
      </c>
      <c r="B104" s="568" t="s">
        <v>244</v>
      </c>
      <c r="C104" s="568"/>
      <c r="D104" s="568"/>
      <c r="E104" s="568"/>
      <c r="F104" s="568"/>
      <c r="G104" s="568"/>
      <c r="H104" s="568"/>
      <c r="I104" s="568"/>
      <c r="J104" s="81">
        <f>J93</f>
        <v>197.48</v>
      </c>
      <c r="L104" s="104"/>
    </row>
    <row r="105" spans="1:12" ht="19.5" customHeight="1" x14ac:dyDescent="0.3">
      <c r="A105" s="67" t="s">
        <v>145</v>
      </c>
      <c r="B105" s="568" t="s">
        <v>62</v>
      </c>
      <c r="C105" s="568"/>
      <c r="D105" s="568"/>
      <c r="E105" s="568"/>
      <c r="F105" s="568"/>
      <c r="G105" s="568"/>
      <c r="H105" s="568"/>
      <c r="I105" s="568"/>
      <c r="J105" s="81">
        <f>J100</f>
        <v>0</v>
      </c>
    </row>
    <row r="106" spans="1:12" ht="19.5" customHeight="1" x14ac:dyDescent="0.3">
      <c r="A106" s="580" t="s">
        <v>75</v>
      </c>
      <c r="B106" s="580"/>
      <c r="C106" s="580"/>
      <c r="D106" s="580"/>
      <c r="E106" s="580"/>
      <c r="F106" s="580"/>
      <c r="G106" s="580"/>
      <c r="H106" s="580"/>
      <c r="I106" s="580"/>
      <c r="J106" s="83">
        <f>SUM(J104+J105)</f>
        <v>197.48</v>
      </c>
    </row>
    <row r="107" spans="1:12" ht="18.75" customHeight="1" x14ac:dyDescent="0.35">
      <c r="A107" s="567"/>
      <c r="B107" s="567"/>
      <c r="C107" s="567"/>
      <c r="D107" s="567"/>
      <c r="E107" s="567"/>
      <c r="F107" s="567"/>
      <c r="G107" s="567"/>
      <c r="H107" s="567"/>
      <c r="I107" s="567"/>
      <c r="J107" s="567"/>
    </row>
    <row r="108" spans="1:12" ht="19.5" customHeight="1" x14ac:dyDescent="0.3">
      <c r="A108" s="577" t="s">
        <v>256</v>
      </c>
      <c r="B108" s="577"/>
      <c r="C108" s="577"/>
      <c r="D108" s="577"/>
      <c r="E108" s="577"/>
      <c r="F108" s="577"/>
      <c r="G108" s="577"/>
      <c r="H108" s="577"/>
      <c r="I108" s="577"/>
      <c r="J108" s="577"/>
    </row>
    <row r="109" spans="1:12" ht="18.75" customHeight="1" x14ac:dyDescent="0.3">
      <c r="A109" s="96">
        <v>5</v>
      </c>
      <c r="B109" s="578" t="s">
        <v>151</v>
      </c>
      <c r="C109" s="578"/>
      <c r="D109" s="578"/>
      <c r="E109" s="578"/>
      <c r="F109" s="578"/>
      <c r="G109" s="578"/>
      <c r="H109" s="578"/>
      <c r="I109" s="578"/>
      <c r="J109" s="96" t="s">
        <v>85</v>
      </c>
    </row>
    <row r="110" spans="1:12" ht="18.75" customHeight="1" x14ac:dyDescent="0.3">
      <c r="A110" s="76" t="s">
        <v>34</v>
      </c>
      <c r="B110" s="573" t="s">
        <v>152</v>
      </c>
      <c r="C110" s="573"/>
      <c r="D110" s="573"/>
      <c r="E110" s="573"/>
      <c r="F110" s="573"/>
      <c r="G110" s="573"/>
      <c r="H110" s="573"/>
      <c r="I110" s="573"/>
      <c r="J110" s="81">
        <f>(J106+J78+J68+J25)*(0.0145)</f>
        <v>39.141816581938699</v>
      </c>
    </row>
    <row r="111" spans="1:12" ht="19.5" customHeight="1" x14ac:dyDescent="0.3">
      <c r="A111" s="76" t="s">
        <v>36</v>
      </c>
      <c r="B111" s="573" t="s">
        <v>153</v>
      </c>
      <c r="C111" s="573"/>
      <c r="D111" s="573"/>
      <c r="E111" s="573"/>
      <c r="F111" s="573"/>
      <c r="G111" s="573"/>
      <c r="H111" s="573"/>
      <c r="I111" s="573"/>
      <c r="J111" s="93" t="s">
        <v>71</v>
      </c>
    </row>
    <row r="112" spans="1:12" ht="19.5" customHeight="1" x14ac:dyDescent="0.3">
      <c r="A112" s="76" t="s">
        <v>38</v>
      </c>
      <c r="B112" s="573" t="s">
        <v>257</v>
      </c>
      <c r="C112" s="573"/>
      <c r="D112" s="573"/>
      <c r="E112" s="573"/>
      <c r="F112" s="573"/>
      <c r="G112" s="573"/>
      <c r="H112" s="573"/>
      <c r="I112" s="573"/>
      <c r="J112" s="93" t="s">
        <v>71</v>
      </c>
    </row>
    <row r="113" spans="1:10" ht="19.5" customHeight="1" x14ac:dyDescent="0.3">
      <c r="A113" s="76" t="s">
        <v>40</v>
      </c>
      <c r="B113" s="573" t="s">
        <v>155</v>
      </c>
      <c r="C113" s="573"/>
      <c r="D113" s="573"/>
      <c r="E113" s="573"/>
      <c r="F113" s="573"/>
      <c r="G113" s="573"/>
      <c r="H113" s="573"/>
      <c r="I113" s="573"/>
      <c r="J113" s="93" t="s">
        <v>71</v>
      </c>
    </row>
    <row r="114" spans="1:10" ht="19.5" customHeight="1" x14ac:dyDescent="0.3">
      <c r="A114" s="574" t="s">
        <v>75</v>
      </c>
      <c r="B114" s="574"/>
      <c r="C114" s="574"/>
      <c r="D114" s="574"/>
      <c r="E114" s="574"/>
      <c r="F114" s="574"/>
      <c r="G114" s="574"/>
      <c r="H114" s="574"/>
      <c r="I114" s="574"/>
      <c r="J114" s="99">
        <f>SUM(J110:J113)</f>
        <v>39.141816581938699</v>
      </c>
    </row>
    <row r="115" spans="1:10" ht="18.75" customHeight="1" x14ac:dyDescent="0.35">
      <c r="A115" s="567"/>
      <c r="B115" s="567"/>
      <c r="C115" s="567"/>
      <c r="D115" s="567"/>
      <c r="E115" s="567"/>
      <c r="F115" s="567"/>
      <c r="G115" s="567"/>
      <c r="H115" s="567"/>
      <c r="I115" s="567"/>
      <c r="J115" s="567"/>
    </row>
    <row r="116" spans="1:10" ht="19.5" customHeight="1" x14ac:dyDescent="0.3">
      <c r="A116" s="577" t="s">
        <v>258</v>
      </c>
      <c r="B116" s="577"/>
      <c r="C116" s="577"/>
      <c r="D116" s="577"/>
      <c r="E116" s="577"/>
      <c r="F116" s="577"/>
      <c r="G116" s="577"/>
      <c r="H116" s="577"/>
      <c r="I116" s="577"/>
      <c r="J116" s="577"/>
    </row>
    <row r="117" spans="1:10" ht="19.5" customHeight="1" x14ac:dyDescent="0.3">
      <c r="A117" s="96">
        <v>6</v>
      </c>
      <c r="B117" s="578" t="s">
        <v>157</v>
      </c>
      <c r="C117" s="578"/>
      <c r="D117" s="578"/>
      <c r="E117" s="578"/>
      <c r="F117" s="578"/>
      <c r="G117" s="578"/>
      <c r="H117" s="578"/>
      <c r="I117" s="70" t="s">
        <v>221</v>
      </c>
      <c r="J117" s="105" t="s">
        <v>85</v>
      </c>
    </row>
    <row r="118" spans="1:10" ht="51.75" customHeight="1" x14ac:dyDescent="0.3">
      <c r="A118" s="568" t="s">
        <v>259</v>
      </c>
      <c r="B118" s="568"/>
      <c r="C118" s="568"/>
      <c r="D118" s="568"/>
      <c r="E118" s="568"/>
      <c r="F118" s="568"/>
      <c r="G118" s="568"/>
      <c r="H118" s="568"/>
      <c r="I118" s="106" t="s">
        <v>164</v>
      </c>
      <c r="J118" s="81">
        <f>SUM(J25+J68+J78+J106+J114)</f>
        <v>2738.5774429225385</v>
      </c>
    </row>
    <row r="119" spans="1:10" ht="18.75" customHeight="1" x14ac:dyDescent="0.3">
      <c r="A119" s="76" t="s">
        <v>34</v>
      </c>
      <c r="B119" s="573" t="s">
        <v>159</v>
      </c>
      <c r="C119" s="573"/>
      <c r="D119" s="573"/>
      <c r="E119" s="573"/>
      <c r="F119" s="573"/>
      <c r="G119" s="573"/>
      <c r="H119" s="573"/>
      <c r="I119" s="84">
        <v>7.1000000000000004E-3</v>
      </c>
      <c r="J119" s="81">
        <f>ROUND(I119*J118,2)</f>
        <v>19.440000000000001</v>
      </c>
    </row>
    <row r="120" spans="1:10" ht="54" customHeight="1" x14ac:dyDescent="0.3">
      <c r="A120" s="568" t="s">
        <v>260</v>
      </c>
      <c r="B120" s="568"/>
      <c r="C120" s="568"/>
      <c r="D120" s="568"/>
      <c r="E120" s="568"/>
      <c r="F120" s="568"/>
      <c r="G120" s="568"/>
      <c r="H120" s="568"/>
      <c r="I120" s="107" t="s">
        <v>164</v>
      </c>
      <c r="J120" s="81">
        <f>SUM(J25+J68+J78+J106+J114+J119)</f>
        <v>2758.0174429225385</v>
      </c>
    </row>
    <row r="121" spans="1:10" ht="18.75" customHeight="1" x14ac:dyDescent="0.3">
      <c r="A121" s="76" t="s">
        <v>36</v>
      </c>
      <c r="B121" s="573" t="s">
        <v>161</v>
      </c>
      <c r="C121" s="573"/>
      <c r="D121" s="573"/>
      <c r="E121" s="573"/>
      <c r="F121" s="573"/>
      <c r="G121" s="573"/>
      <c r="H121" s="573"/>
      <c r="I121" s="84">
        <f>I119</f>
        <v>7.1000000000000004E-3</v>
      </c>
      <c r="J121" s="81">
        <f>ROUND(I121*J120,2)</f>
        <v>19.579999999999998</v>
      </c>
    </row>
    <row r="122" spans="1:10" ht="54" customHeight="1" x14ac:dyDescent="0.3">
      <c r="A122" s="568" t="s">
        <v>261</v>
      </c>
      <c r="B122" s="568"/>
      <c r="C122" s="568"/>
      <c r="D122" s="568"/>
      <c r="E122" s="568"/>
      <c r="F122" s="568"/>
      <c r="G122" s="568"/>
      <c r="H122" s="568"/>
      <c r="I122" s="107" t="s">
        <v>164</v>
      </c>
      <c r="J122" s="81">
        <f>SUM(J25+J68+J78+J106+J114+J119+J121)</f>
        <v>2777.5974429225384</v>
      </c>
    </row>
    <row r="123" spans="1:10" ht="18.75" customHeight="1" x14ac:dyDescent="0.3">
      <c r="A123" s="76" t="s">
        <v>38</v>
      </c>
      <c r="B123" s="573" t="s">
        <v>163</v>
      </c>
      <c r="C123" s="573"/>
      <c r="D123" s="573"/>
      <c r="E123" s="573"/>
      <c r="F123" s="573"/>
      <c r="G123" s="573"/>
      <c r="H123" s="573"/>
      <c r="I123" s="77" t="s">
        <v>164</v>
      </c>
      <c r="J123" s="90" t="s">
        <v>164</v>
      </c>
    </row>
    <row r="124" spans="1:10" ht="18.75" customHeight="1" x14ac:dyDescent="0.3">
      <c r="A124" s="76"/>
      <c r="B124" s="573" t="s">
        <v>165</v>
      </c>
      <c r="C124" s="573"/>
      <c r="D124" s="573"/>
      <c r="E124" s="573"/>
      <c r="F124" s="573"/>
      <c r="G124" s="573"/>
      <c r="H124" s="573"/>
      <c r="I124" s="77" t="s">
        <v>164</v>
      </c>
      <c r="J124" s="90" t="s">
        <v>164</v>
      </c>
    </row>
    <row r="125" spans="1:10" ht="19.5" customHeight="1" x14ac:dyDescent="0.3">
      <c r="A125" s="76"/>
      <c r="B125" s="573" t="s">
        <v>262</v>
      </c>
      <c r="C125" s="573"/>
      <c r="D125" s="573"/>
      <c r="E125" s="573"/>
      <c r="F125" s="573"/>
      <c r="G125" s="573"/>
      <c r="H125" s="573"/>
      <c r="I125" s="108">
        <v>0.03</v>
      </c>
      <c r="J125" s="81">
        <f>ROUND(($J$122/(1-$I$134))*I125,2)</f>
        <v>91.22</v>
      </c>
    </row>
    <row r="126" spans="1:10" ht="19.5" customHeight="1" x14ac:dyDescent="0.3">
      <c r="A126" s="76"/>
      <c r="B126" s="573" t="s">
        <v>263</v>
      </c>
      <c r="C126" s="573"/>
      <c r="D126" s="573"/>
      <c r="E126" s="573"/>
      <c r="F126" s="573"/>
      <c r="G126" s="573"/>
      <c r="H126" s="573"/>
      <c r="I126" s="108">
        <v>6.4999999999999997E-3</v>
      </c>
      <c r="J126" s="81">
        <f>ROUND(($J$122/(1-$I$134))*I126,2)</f>
        <v>19.760000000000002</v>
      </c>
    </row>
    <row r="127" spans="1:10" ht="19.5" customHeight="1" x14ac:dyDescent="0.3">
      <c r="A127" s="76"/>
      <c r="B127" s="568" t="s">
        <v>264</v>
      </c>
      <c r="C127" s="568"/>
      <c r="D127" s="568"/>
      <c r="E127" s="568"/>
      <c r="F127" s="568"/>
      <c r="G127" s="568"/>
      <c r="H127" s="568"/>
      <c r="I127" s="98" t="s">
        <v>164</v>
      </c>
      <c r="J127" s="90" t="s">
        <v>164</v>
      </c>
    </row>
    <row r="128" spans="1:10" ht="19.5" customHeight="1" x14ac:dyDescent="0.3">
      <c r="A128" s="76"/>
      <c r="B128" s="568" t="s">
        <v>265</v>
      </c>
      <c r="C128" s="568"/>
      <c r="D128" s="568"/>
      <c r="E128" s="568"/>
      <c r="F128" s="568"/>
      <c r="G128" s="568"/>
      <c r="H128" s="568"/>
      <c r="I128" s="98" t="s">
        <v>164</v>
      </c>
      <c r="J128" s="90" t="s">
        <v>164</v>
      </c>
    </row>
    <row r="129" spans="1:10" ht="19.5" customHeight="1" x14ac:dyDescent="0.3">
      <c r="A129" s="76"/>
      <c r="B129" s="573" t="s">
        <v>168</v>
      </c>
      <c r="C129" s="573"/>
      <c r="D129" s="573"/>
      <c r="E129" s="573"/>
      <c r="F129" s="573"/>
      <c r="G129" s="573"/>
      <c r="H129" s="573"/>
      <c r="I129" s="98" t="s">
        <v>164</v>
      </c>
      <c r="J129" s="90" t="s">
        <v>164</v>
      </c>
    </row>
    <row r="130" spans="1:10" ht="19.5" customHeight="1" x14ac:dyDescent="0.3">
      <c r="A130" s="76"/>
      <c r="B130" s="573" t="s">
        <v>266</v>
      </c>
      <c r="C130" s="573"/>
      <c r="D130" s="573"/>
      <c r="E130" s="573"/>
      <c r="F130" s="573"/>
      <c r="G130" s="573"/>
      <c r="H130" s="573"/>
      <c r="I130" s="98" t="s">
        <v>164</v>
      </c>
      <c r="J130" s="90" t="s">
        <v>164</v>
      </c>
    </row>
    <row r="131" spans="1:10" ht="19.5" customHeight="1" x14ac:dyDescent="0.3">
      <c r="A131" s="76"/>
      <c r="B131" s="573" t="s">
        <v>267</v>
      </c>
      <c r="C131" s="573"/>
      <c r="D131" s="573"/>
      <c r="E131" s="573"/>
      <c r="F131" s="573"/>
      <c r="G131" s="573"/>
      <c r="H131" s="573"/>
      <c r="I131" s="108">
        <v>0.05</v>
      </c>
      <c r="J131" s="81">
        <f>ROUND(($J$122/(1-$I$134))*I131,2)</f>
        <v>152.03</v>
      </c>
    </row>
    <row r="132" spans="1:10" ht="18.75" customHeight="1" x14ac:dyDescent="0.3">
      <c r="A132" s="574" t="s">
        <v>75</v>
      </c>
      <c r="B132" s="574"/>
      <c r="C132" s="574"/>
      <c r="D132" s="574"/>
      <c r="E132" s="574"/>
      <c r="F132" s="574"/>
      <c r="G132" s="574"/>
      <c r="H132" s="574"/>
      <c r="I132" s="574"/>
      <c r="J132" s="83">
        <f>SUM(J119+J121+J125+J126+J131)</f>
        <v>302.02999999999997</v>
      </c>
    </row>
    <row r="133" spans="1:10" ht="18.75" customHeight="1" x14ac:dyDescent="0.35">
      <c r="A133" s="567"/>
      <c r="B133" s="567"/>
      <c r="C133" s="567"/>
      <c r="D133" s="567"/>
      <c r="E133" s="567"/>
      <c r="F133" s="567"/>
      <c r="G133" s="567"/>
      <c r="H133" s="567"/>
      <c r="I133" s="567"/>
      <c r="J133" s="567"/>
    </row>
    <row r="134" spans="1:10" ht="19.5" customHeight="1" x14ac:dyDescent="0.3">
      <c r="A134" s="575" t="s">
        <v>170</v>
      </c>
      <c r="B134" s="575"/>
      <c r="C134" s="575"/>
      <c r="D134" s="575"/>
      <c r="E134" s="575"/>
      <c r="F134" s="575"/>
      <c r="G134" s="575"/>
      <c r="H134" s="575"/>
      <c r="I134" s="84">
        <f>SUM(I125:I131)</f>
        <v>8.6499999999999994E-2</v>
      </c>
      <c r="J134" s="81">
        <f>SUM(J125:J131)</f>
        <v>263.01</v>
      </c>
    </row>
    <row r="135" spans="1:10" ht="18.75" customHeight="1" x14ac:dyDescent="0.3">
      <c r="A135" s="576" t="s">
        <v>171</v>
      </c>
      <c r="B135" s="576"/>
      <c r="C135" s="576"/>
      <c r="D135" s="573" t="s">
        <v>172</v>
      </c>
      <c r="E135" s="573"/>
      <c r="F135" s="573"/>
      <c r="G135" s="573"/>
      <c r="H135" s="573"/>
      <c r="I135" s="573"/>
      <c r="J135" s="573"/>
    </row>
    <row r="136" spans="1:10" ht="18.75" customHeight="1" x14ac:dyDescent="0.3">
      <c r="A136" s="576"/>
      <c r="B136" s="576"/>
      <c r="C136" s="576"/>
      <c r="D136" s="573" t="s">
        <v>173</v>
      </c>
      <c r="E136" s="573"/>
      <c r="F136" s="573"/>
      <c r="G136" s="573"/>
      <c r="H136" s="573"/>
      <c r="I136" s="573"/>
      <c r="J136" s="573"/>
    </row>
    <row r="137" spans="1:10" ht="18.75" customHeight="1" x14ac:dyDescent="0.3">
      <c r="A137" s="576"/>
      <c r="B137" s="576"/>
      <c r="C137" s="576"/>
      <c r="D137" s="573" t="s">
        <v>174</v>
      </c>
      <c r="E137" s="573"/>
      <c r="F137" s="573"/>
      <c r="G137" s="573"/>
      <c r="H137" s="573"/>
      <c r="I137" s="573"/>
      <c r="J137" s="573"/>
    </row>
    <row r="138" spans="1:10" ht="18.75" customHeight="1" x14ac:dyDescent="0.35">
      <c r="A138" s="567"/>
      <c r="B138" s="567"/>
      <c r="C138" s="567"/>
      <c r="D138" s="567"/>
      <c r="E138" s="567"/>
      <c r="F138" s="567"/>
      <c r="G138" s="567"/>
      <c r="H138" s="567"/>
      <c r="I138" s="567"/>
      <c r="J138" s="567"/>
    </row>
    <row r="139" spans="1:10" ht="48" customHeight="1" x14ac:dyDescent="0.3">
      <c r="A139" s="570" t="s">
        <v>268</v>
      </c>
      <c r="B139" s="570"/>
      <c r="C139" s="570"/>
      <c r="D139" s="570"/>
      <c r="E139" s="570"/>
      <c r="F139" s="570"/>
      <c r="G139" s="570"/>
      <c r="H139" s="570"/>
      <c r="I139" s="570"/>
      <c r="J139" s="570"/>
    </row>
    <row r="140" spans="1:10" ht="15" customHeight="1" x14ac:dyDescent="0.3">
      <c r="A140" s="571" t="s">
        <v>269</v>
      </c>
      <c r="B140" s="571"/>
      <c r="C140" s="571"/>
      <c r="D140" s="571"/>
      <c r="E140" s="571"/>
      <c r="F140" s="571"/>
      <c r="G140" s="571"/>
      <c r="H140" s="571"/>
      <c r="I140" s="571"/>
      <c r="J140" s="100" t="s">
        <v>85</v>
      </c>
    </row>
    <row r="141" spans="1:10" ht="19.5" customHeight="1" x14ac:dyDescent="0.3">
      <c r="A141" s="109" t="s">
        <v>34</v>
      </c>
      <c r="B141" s="565" t="s">
        <v>177</v>
      </c>
      <c r="C141" s="565"/>
      <c r="D141" s="565"/>
      <c r="E141" s="565"/>
      <c r="F141" s="565"/>
      <c r="G141" s="565"/>
      <c r="H141" s="565"/>
      <c r="I141" s="565"/>
      <c r="J141" s="93">
        <f>J25</f>
        <v>1224.55</v>
      </c>
    </row>
    <row r="142" spans="1:10" ht="19.5" customHeight="1" x14ac:dyDescent="0.3">
      <c r="A142" s="109" t="s">
        <v>36</v>
      </c>
      <c r="B142" s="565" t="s">
        <v>80</v>
      </c>
      <c r="C142" s="565"/>
      <c r="D142" s="565"/>
      <c r="E142" s="565"/>
      <c r="F142" s="565"/>
      <c r="G142" s="565"/>
      <c r="H142" s="565"/>
      <c r="I142" s="565"/>
      <c r="J142" s="93">
        <f>J68</f>
        <v>1224.53</v>
      </c>
    </row>
    <row r="143" spans="1:10" ht="19.5" customHeight="1" x14ac:dyDescent="0.3">
      <c r="A143" s="109" t="s">
        <v>38</v>
      </c>
      <c r="B143" s="565" t="s">
        <v>178</v>
      </c>
      <c r="C143" s="565"/>
      <c r="D143" s="565"/>
      <c r="E143" s="565"/>
      <c r="F143" s="565"/>
      <c r="G143" s="565"/>
      <c r="H143" s="565"/>
      <c r="I143" s="565"/>
      <c r="J143" s="93">
        <f>J78</f>
        <v>52.875626340599993</v>
      </c>
    </row>
    <row r="144" spans="1:10" ht="19.5" customHeight="1" x14ac:dyDescent="0.3">
      <c r="A144" s="109" t="s">
        <v>40</v>
      </c>
      <c r="B144" s="565" t="s">
        <v>179</v>
      </c>
      <c r="C144" s="565"/>
      <c r="D144" s="565"/>
      <c r="E144" s="565"/>
      <c r="F144" s="565"/>
      <c r="G144" s="565"/>
      <c r="H144" s="565"/>
      <c r="I144" s="565"/>
      <c r="J144" s="93">
        <f>J106</f>
        <v>197.48</v>
      </c>
    </row>
    <row r="145" spans="1:10" ht="19.5" customHeight="1" x14ac:dyDescent="0.3">
      <c r="A145" s="109" t="s">
        <v>73</v>
      </c>
      <c r="B145" s="565" t="s">
        <v>180</v>
      </c>
      <c r="C145" s="565"/>
      <c r="D145" s="565"/>
      <c r="E145" s="565"/>
      <c r="F145" s="565"/>
      <c r="G145" s="565"/>
      <c r="H145" s="565"/>
      <c r="I145" s="565"/>
      <c r="J145" s="93">
        <f>J114</f>
        <v>39.141816581938699</v>
      </c>
    </row>
    <row r="146" spans="1:10" ht="19.5" customHeight="1" x14ac:dyDescent="0.3">
      <c r="A146" s="572" t="s">
        <v>181</v>
      </c>
      <c r="B146" s="572"/>
      <c r="C146" s="572"/>
      <c r="D146" s="572"/>
      <c r="E146" s="572"/>
      <c r="F146" s="572"/>
      <c r="G146" s="572"/>
      <c r="H146" s="572"/>
      <c r="I146" s="572"/>
      <c r="J146" s="99">
        <f>SUM(J141:J145)</f>
        <v>2738.5774429225385</v>
      </c>
    </row>
    <row r="147" spans="1:10" ht="19.5" customHeight="1" x14ac:dyDescent="0.3">
      <c r="A147" s="109" t="s">
        <v>76</v>
      </c>
      <c r="B147" s="565" t="s">
        <v>182</v>
      </c>
      <c r="C147" s="565"/>
      <c r="D147" s="565"/>
      <c r="E147" s="565"/>
      <c r="F147" s="565"/>
      <c r="G147" s="565"/>
      <c r="H147" s="565"/>
      <c r="I147" s="565"/>
      <c r="J147" s="93">
        <f>J132</f>
        <v>302.02999999999997</v>
      </c>
    </row>
    <row r="148" spans="1:10" ht="19.5" customHeight="1" x14ac:dyDescent="0.3">
      <c r="A148" s="566" t="s">
        <v>270</v>
      </c>
      <c r="B148" s="566"/>
      <c r="C148" s="566"/>
      <c r="D148" s="566"/>
      <c r="E148" s="566"/>
      <c r="F148" s="566"/>
      <c r="G148" s="566"/>
      <c r="H148" s="566"/>
      <c r="I148" s="566"/>
      <c r="J148" s="110">
        <f>SUM(J146:J147)</f>
        <v>3040.6074429225382</v>
      </c>
    </row>
    <row r="149" spans="1:10" ht="18.75" customHeight="1" x14ac:dyDescent="0.35">
      <c r="A149" s="567"/>
      <c r="B149" s="567"/>
      <c r="C149" s="567"/>
      <c r="D149" s="567"/>
      <c r="E149" s="567"/>
      <c r="F149" s="567"/>
      <c r="G149" s="567"/>
      <c r="H149" s="567"/>
      <c r="I149" s="567"/>
      <c r="J149" s="567"/>
    </row>
    <row r="150" spans="1:10" ht="19.5" customHeight="1" x14ac:dyDescent="0.3">
      <c r="A150" s="568" t="s">
        <v>188</v>
      </c>
      <c r="B150" s="568"/>
      <c r="C150" s="568"/>
      <c r="D150" s="568"/>
      <c r="E150" s="568"/>
      <c r="F150" s="568"/>
      <c r="G150" s="569">
        <f>J148</f>
        <v>3040.6074429225382</v>
      </c>
      <c r="H150" s="569"/>
      <c r="I150" s="569"/>
      <c r="J150" s="569"/>
    </row>
    <row r="152" spans="1:10" ht="19.5" customHeight="1" x14ac:dyDescent="0.3"/>
    <row r="154" spans="1:10" ht="31.5" customHeight="1" x14ac:dyDescent="0.3"/>
  </sheetData>
  <mergeCells count="162">
    <mergeCell ref="A1:J1"/>
    <mergeCell ref="A2:J2"/>
    <mergeCell ref="A3:J3"/>
    <mergeCell ref="A4:J4"/>
    <mergeCell ref="A5:J5"/>
    <mergeCell ref="A6:J6"/>
    <mergeCell ref="B7:G7"/>
    <mergeCell ref="H7:J7"/>
    <mergeCell ref="B8:G8"/>
    <mergeCell ref="H8:J8"/>
    <mergeCell ref="B9:G9"/>
    <mergeCell ref="H9:J9"/>
    <mergeCell ref="B10:G10"/>
    <mergeCell ref="H10:J10"/>
    <mergeCell ref="A11:J11"/>
    <mergeCell ref="A12:J12"/>
    <mergeCell ref="A13:J13"/>
    <mergeCell ref="A14:J14"/>
    <mergeCell ref="B15:G15"/>
    <mergeCell ref="H15:J15"/>
    <mergeCell ref="B16:G16"/>
    <mergeCell ref="H16:J16"/>
    <mergeCell ref="B17:G17"/>
    <mergeCell ref="H17:J17"/>
    <mergeCell ref="B18:G18"/>
    <mergeCell ref="H18:J18"/>
    <mergeCell ref="B19:G19"/>
    <mergeCell ref="H19:J19"/>
    <mergeCell ref="A20:J20"/>
    <mergeCell ref="A21:J21"/>
    <mergeCell ref="B22:I22"/>
    <mergeCell ref="B23:I23"/>
    <mergeCell ref="B24:I24"/>
    <mergeCell ref="A25:I25"/>
    <mergeCell ref="A26:J26"/>
    <mergeCell ref="A27:J27"/>
    <mergeCell ref="A28:J28"/>
    <mergeCell ref="B29:I29"/>
    <mergeCell ref="B30:H30"/>
    <mergeCell ref="B31:H31"/>
    <mergeCell ref="A32:I32"/>
    <mergeCell ref="B33:I33"/>
    <mergeCell ref="A34:I34"/>
    <mergeCell ref="A35:J35"/>
    <mergeCell ref="A36:J36"/>
    <mergeCell ref="B37:H37"/>
    <mergeCell ref="B38:H38"/>
    <mergeCell ref="B39:H39"/>
    <mergeCell ref="B40:D40"/>
    <mergeCell ref="B41:H41"/>
    <mergeCell ref="B42:H42"/>
    <mergeCell ref="B43:H43"/>
    <mergeCell ref="B44:H44"/>
    <mergeCell ref="B45:H45"/>
    <mergeCell ref="A46:H46"/>
    <mergeCell ref="A47:J47"/>
    <mergeCell ref="A48:J48"/>
    <mergeCell ref="B49:I49"/>
    <mergeCell ref="A50:A53"/>
    <mergeCell ref="B50:I50"/>
    <mergeCell ref="B51:H51"/>
    <mergeCell ref="B52:H52"/>
    <mergeCell ref="B53:H53"/>
    <mergeCell ref="A54:A56"/>
    <mergeCell ref="B54:I54"/>
    <mergeCell ref="B55:H55"/>
    <mergeCell ref="B56:H56"/>
    <mergeCell ref="B57:I57"/>
    <mergeCell ref="B58:I58"/>
    <mergeCell ref="B59:I59"/>
    <mergeCell ref="B60:I60"/>
    <mergeCell ref="A61:I61"/>
    <mergeCell ref="A62:J62"/>
    <mergeCell ref="A63:J63"/>
    <mergeCell ref="B64:I64"/>
    <mergeCell ref="B65:I65"/>
    <mergeCell ref="B66:I66"/>
    <mergeCell ref="B67:I67"/>
    <mergeCell ref="A68:I68"/>
    <mergeCell ref="A69:J69"/>
    <mergeCell ref="A70:J70"/>
    <mergeCell ref="B71:I71"/>
    <mergeCell ref="B72:I72"/>
    <mergeCell ref="B73:I73"/>
    <mergeCell ref="B74:H74"/>
    <mergeCell ref="B75:I75"/>
    <mergeCell ref="B76:I76"/>
    <mergeCell ref="B77:H77"/>
    <mergeCell ref="A78:I78"/>
    <mergeCell ref="A79:J79"/>
    <mergeCell ref="A80:J80"/>
    <mergeCell ref="A81:I81"/>
    <mergeCell ref="A82:J82"/>
    <mergeCell ref="A83:J83"/>
    <mergeCell ref="B84:I84"/>
    <mergeCell ref="B85:H85"/>
    <mergeCell ref="B86:I86"/>
    <mergeCell ref="B87:I87"/>
    <mergeCell ref="B88:I88"/>
    <mergeCell ref="B89:I89"/>
    <mergeCell ref="B90:I90"/>
    <mergeCell ref="A91:I91"/>
    <mergeCell ref="B92:I92"/>
    <mergeCell ref="A93:I93"/>
    <mergeCell ref="A95:J95"/>
    <mergeCell ref="B96:I96"/>
    <mergeCell ref="B97:I97"/>
    <mergeCell ref="A98:I98"/>
    <mergeCell ref="B99:I99"/>
    <mergeCell ref="A100:I100"/>
    <mergeCell ref="A101:J101"/>
    <mergeCell ref="A102:J102"/>
    <mergeCell ref="B103:I103"/>
    <mergeCell ref="B104:I104"/>
    <mergeCell ref="B105:I105"/>
    <mergeCell ref="A106:I106"/>
    <mergeCell ref="A107:J107"/>
    <mergeCell ref="A108:J108"/>
    <mergeCell ref="B109:I109"/>
    <mergeCell ref="B110:I110"/>
    <mergeCell ref="B111:I111"/>
    <mergeCell ref="B112:I112"/>
    <mergeCell ref="B113:I113"/>
    <mergeCell ref="A114:I114"/>
    <mergeCell ref="A115:J115"/>
    <mergeCell ref="A116:J116"/>
    <mergeCell ref="B117:H117"/>
    <mergeCell ref="A118:H118"/>
    <mergeCell ref="B119:H119"/>
    <mergeCell ref="A120:H120"/>
    <mergeCell ref="B121:H121"/>
    <mergeCell ref="A122:H122"/>
    <mergeCell ref="B123:H123"/>
    <mergeCell ref="B124:H124"/>
    <mergeCell ref="B125:H125"/>
    <mergeCell ref="B126:H126"/>
    <mergeCell ref="B127:H127"/>
    <mergeCell ref="B128:H128"/>
    <mergeCell ref="B129:H129"/>
    <mergeCell ref="B130:H130"/>
    <mergeCell ref="B131:H131"/>
    <mergeCell ref="A132:I132"/>
    <mergeCell ref="A133:J133"/>
    <mergeCell ref="A134:H134"/>
    <mergeCell ref="A135:C137"/>
    <mergeCell ref="D135:J135"/>
    <mergeCell ref="D136:J136"/>
    <mergeCell ref="D137:J137"/>
    <mergeCell ref="B147:I147"/>
    <mergeCell ref="A148:I148"/>
    <mergeCell ref="A149:J149"/>
    <mergeCell ref="A150:F150"/>
    <mergeCell ref="G150:J150"/>
    <mergeCell ref="A138:J138"/>
    <mergeCell ref="A139:J139"/>
    <mergeCell ref="A140:I140"/>
    <mergeCell ref="B141:I141"/>
    <mergeCell ref="B142:I142"/>
    <mergeCell ref="B143:I143"/>
    <mergeCell ref="B144:I144"/>
    <mergeCell ref="B145:I145"/>
    <mergeCell ref="A146:I146"/>
  </mergeCells>
  <printOptions horizontalCentered="1"/>
  <pageMargins left="0.118055555555556" right="0.118055555555556" top="0.36319444444444499" bottom="0" header="0.196527777777778" footer="0.511811023622047"/>
  <pageSetup paperSize="9" pageOrder="overThenDown" orientation="portrait" horizontalDpi="300" verticalDpi="300"/>
  <headerFooter>
    <oddHeader>&amp;C&amp;12&amp;A</oddHeader>
  </headerFooter>
  <rowBreaks count="2" manualBreakCount="2">
    <brk id="47" max="16383" man="1"/>
    <brk id="9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668af9-5b84-4ed0-b89c-fe2bf7241e8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433FF92FF5C8849B157BEE3BE5BEDC2" ma:contentTypeVersion="14" ma:contentTypeDescription="Crie um novo documento." ma:contentTypeScope="" ma:versionID="47374cad13e09b03db86c2e7ba5a69f9">
  <xsd:schema xmlns:xsd="http://www.w3.org/2001/XMLSchema" xmlns:xs="http://www.w3.org/2001/XMLSchema" xmlns:p="http://schemas.microsoft.com/office/2006/metadata/properties" xmlns:ns2="f9668af9-5b84-4ed0-b89c-fe2bf7241e88" targetNamespace="http://schemas.microsoft.com/office/2006/metadata/properties" ma:root="true" ma:fieldsID="164e9514055601b4a651b2185a4b5972" ns2:_="">
    <xsd:import namespace="f9668af9-5b84-4ed0-b89c-fe2bf7241e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668af9-5b84-4ed0-b89c-fe2bf7241e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bbb0a7e8-13cc-4f9e-86a5-04ec5dc485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A6AF6B-2B49-4DAB-A7A8-0399B4248918}">
  <ds:schemaRefs>
    <ds:schemaRef ds:uri="http://schemas.microsoft.com/office/2006/metadata/properties"/>
    <ds:schemaRef ds:uri="http://schemas.microsoft.com/office/infopath/2007/PartnerControls"/>
    <ds:schemaRef ds:uri="f9668af9-5b84-4ed0-b89c-fe2bf7241e88"/>
  </ds:schemaRefs>
</ds:datastoreItem>
</file>

<file path=customXml/itemProps2.xml><?xml version="1.0" encoding="utf-8"?>
<ds:datastoreItem xmlns:ds="http://schemas.openxmlformats.org/officeDocument/2006/customXml" ds:itemID="{4B07DBE8-EE3F-42F0-B69D-4DC3E97580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668af9-5b84-4ed0-b89c-fe2bf7241e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6CB688-8D8B-41E2-A929-DF2E96B23A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4</vt:i4>
      </vt:variant>
    </vt:vector>
  </HeadingPairs>
  <TitlesOfParts>
    <vt:vector size="21" baseType="lpstr">
      <vt:lpstr>Resumo dos custos do Grupo 1</vt:lpstr>
      <vt:lpstr>Uniforme e Materiais - Grupo 1</vt:lpstr>
      <vt:lpstr>Inserir dados na planilha</vt:lpstr>
      <vt:lpstr>Vigilante 44h Diurno DRF-TSA-PI</vt:lpstr>
      <vt:lpstr>Vigilante 44h Diurno ARF-PBA-PI</vt:lpstr>
      <vt:lpstr>Vigilante 44h Diurno ARF-FLO-PI</vt:lpstr>
      <vt:lpstr>Vigilante 12x36 Diurno DMA-TSA</vt:lpstr>
      <vt:lpstr>Vigilante 12x36 Noturno DMA</vt:lpstr>
      <vt:lpstr>Recepcionista</vt:lpstr>
      <vt:lpstr>Recepcionista_3030</vt:lpstr>
      <vt:lpstr>Motorista_B</vt:lpstr>
      <vt:lpstr>Motorista_C</vt:lpstr>
      <vt:lpstr>Copeira</vt:lpstr>
      <vt:lpstr>Carregador_44h</vt:lpstr>
      <vt:lpstr>Carregafor_44_3030</vt:lpstr>
      <vt:lpstr>Carregador_12x36_diurno</vt:lpstr>
      <vt:lpstr>Carregador_12x36_noturno</vt:lpstr>
      <vt:lpstr>'Resumo dos custos do Grupo 1'!Area_de_impressao</vt:lpstr>
      <vt:lpstr>'Vigilante 12x36 Diurno DMA-TSA'!Area_de_impressao</vt:lpstr>
      <vt:lpstr>'Vigilante 12x36 Noturno DMA'!Area_de_impressao</vt:lpstr>
      <vt:lpstr>'Vigilante 44h Diurno DRF-TSA-PI'!Area_de_impressao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Secretaria da Receita Federal</dc:creator>
  <cp:keywords/>
  <dc:description/>
  <cp:lastModifiedBy>Antonio Cardoso da Rocha Filho</cp:lastModifiedBy>
  <cp:revision>703</cp:revision>
  <cp:lastPrinted>2026-01-14T20:05:35Z</cp:lastPrinted>
  <dcterms:created xsi:type="dcterms:W3CDTF">2008-06-13T10:15:31Z</dcterms:created>
  <dcterms:modified xsi:type="dcterms:W3CDTF">2026-01-22T21:24:20Z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0x0101002433FF92FF5C8849B157BEE3BE5BEDC2</vt:lpwstr>
  </property>
  <property fmtid="{D5CDD505-2E9C-101B-9397-08002B2CF9AE}" pid="3" name="MediaServiceImageTags">
    <vt:lpwstr/>
  </property>
</Properties>
</file>