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felipe.azevedo\Desktop\FINALIZADOS\Ajustes_DURATION\PUBLICAR_23_01_2020\"/>
    </mc:Choice>
  </mc:AlternateContent>
  <bookViews>
    <workbookView xWindow="0" yWindow="0" windowWidth="28800" windowHeight="10830" tabRatio="937"/>
  </bookViews>
  <sheets>
    <sheet name="Fluxo e Duração do Passivo" sheetId="11" r:id="rId1"/>
    <sheet name="Anexo 1 - Despesa com Pessoal " sheetId="7" r:id="rId2"/>
    <sheet name="01- Histórico" sheetId="8" r:id="rId3"/>
    <sheet name="02 - Projeções" sheetId="9" r:id="rId4"/>
    <sheet name="03 - Indicadores " sheetId="10" r:id="rId5"/>
  </sheets>
  <definedNames>
    <definedName name="\p">#N/A</definedName>
    <definedName name="\s">#N/A</definedName>
    <definedName name="a">#REF!,#REF!</definedName>
    <definedName name="AREA">#N/A</definedName>
    <definedName name="_xlnm.Print_Area" localSheetId="2">'01- Histórico'!$A$16:$C$28</definedName>
    <definedName name="_xlnm.Print_Area" localSheetId="3">'02 - Projeções'!$A$6:$K$43</definedName>
    <definedName name="BALA">#N/A</definedName>
    <definedName name="e">#REF!,#REF!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3">#REF!,#REF!</definedName>
    <definedName name="Planilha_1ÁreaTotal" localSheetId="1">#REF!,#REF!</definedName>
    <definedName name="Planilha_1ÁreaTotal">#REF!,#REF!</definedName>
    <definedName name="Planilha_1CabGráfico" localSheetId="3">#REF!</definedName>
    <definedName name="Planilha_1CabGráfico" localSheetId="1">#REF!</definedName>
    <definedName name="Planilha_1CabGráfico">#REF!</definedName>
    <definedName name="Planilha_1TítCols" localSheetId="3">#REF!,#REF!</definedName>
    <definedName name="Planilha_1TítCols" localSheetId="1">#REF!,#REF!</definedName>
    <definedName name="Planilha_1TítCols">#REF!,#REF!</definedName>
    <definedName name="Planilha_1TítLins" localSheetId="3">#REF!</definedName>
    <definedName name="Planilha_1TítLins" localSheetId="1">#REF!</definedName>
    <definedName name="Planilha_1TítLins">#REF!</definedName>
    <definedName name="Planilha_2ÁreaTotal" localSheetId="3">#REF!,#REF!</definedName>
    <definedName name="Planilha_2ÁreaTotal" localSheetId="1">#REF!,#REF!</definedName>
    <definedName name="Planilha_2ÁreaTotal">#REF!,#REF!</definedName>
    <definedName name="Planilha_2CabGráfico" localSheetId="3">#REF!</definedName>
    <definedName name="Planilha_2CabGráfico" localSheetId="1">#REF!</definedName>
    <definedName name="Planilha_2CabGráfico">#REF!</definedName>
    <definedName name="Planilha_2TítCols" localSheetId="3">#REF!,#REF!</definedName>
    <definedName name="Planilha_2TítCols" localSheetId="1">#REF!,#REF!</definedName>
    <definedName name="Planilha_2TítCols">#REF!,#REF!</definedName>
    <definedName name="Planilha_2TítLins" localSheetId="3">#REF!</definedName>
    <definedName name="Planilha_2TítLins" localSheetId="1">#REF!</definedName>
    <definedName name="Planilha_2TítLins">#REF!</definedName>
    <definedName name="Planilha_3ÁreaTotal" localSheetId="3">#REF!,#REF!</definedName>
    <definedName name="Planilha_3ÁreaTotal" localSheetId="1">#REF!,#REF!</definedName>
    <definedName name="Planilha_3ÁreaTotal">#REF!,#REF!</definedName>
    <definedName name="Planilha_3CabGráfico" localSheetId="3">#REF!</definedName>
    <definedName name="Planilha_3CabGráfico" localSheetId="1">#REF!</definedName>
    <definedName name="Planilha_3CabGráfico">#REF!</definedName>
    <definedName name="Planilha_3TítCols" localSheetId="3">#REF!,#REF!</definedName>
    <definedName name="Planilha_3TítCols" localSheetId="1">#REF!,#REF!</definedName>
    <definedName name="Planilha_3TítCols">#REF!,#REF!</definedName>
    <definedName name="Planilha_3TítLins" localSheetId="3">#REF!</definedName>
    <definedName name="Planilha_3TítLins" localSheetId="1">#REF!</definedName>
    <definedName name="Planilha_3TítLins">#REF!</definedName>
    <definedName name="Planilha_4ÁreaTotal" localSheetId="3">#REF!,#REF!</definedName>
    <definedName name="Planilha_4ÁreaTotal" localSheetId="1">#REF!,#REF!</definedName>
    <definedName name="Planilha_4ÁreaTotal">#REF!,#REF!</definedName>
    <definedName name="Planilha_4TítCols" localSheetId="3">#REF!,#REF!</definedName>
    <definedName name="Planilha_4TítCols" localSheetId="1">#REF!,#REF!</definedName>
    <definedName name="Planilha_4TítCols">#REF!,#REF!</definedName>
    <definedName name="_xlnm.Print_Titles" localSheetId="2">'01- Histórico'!$16:$17</definedName>
    <definedName name="_xlnm.Print_Titles" localSheetId="3">'02 - Projeções'!$6:$7</definedName>
  </definedNames>
  <calcPr calcId="162913"/>
</workbook>
</file>

<file path=xl/calcChain.xml><?xml version="1.0" encoding="utf-8"?>
<calcChain xmlns="http://schemas.openxmlformats.org/spreadsheetml/2006/main">
  <c r="L9" i="9" l="1"/>
  <c r="L10" i="9"/>
  <c r="L11" i="9"/>
  <c r="L12" i="9"/>
  <c r="L13" i="9"/>
  <c r="L14" i="9"/>
  <c r="E15" i="10" s="1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38" i="10"/>
  <c r="E10" i="10"/>
  <c r="L8" i="9"/>
  <c r="J8" i="9"/>
  <c r="I8" i="9"/>
  <c r="H8" i="9"/>
  <c r="G8" i="9"/>
  <c r="F8" i="9"/>
  <c r="E8" i="9"/>
  <c r="B13" i="8"/>
  <c r="BI160" i="11"/>
  <c r="BH160" i="11"/>
  <c r="BG160" i="11"/>
  <c r="BF160" i="11"/>
  <c r="BE160" i="11"/>
  <c r="BD160" i="11"/>
  <c r="BC160" i="11"/>
  <c r="BB160" i="11"/>
  <c r="BA160" i="11"/>
  <c r="AY160" i="11"/>
  <c r="AX160" i="11"/>
  <c r="AW160" i="11"/>
  <c r="AV160" i="11"/>
  <c r="AU160" i="11"/>
  <c r="AT160" i="11"/>
  <c r="AQ160" i="11"/>
  <c r="AP160" i="11"/>
  <c r="AO160" i="11"/>
  <c r="AN160" i="11"/>
  <c r="AM160" i="11"/>
  <c r="AL160" i="11"/>
  <c r="AK160" i="11"/>
  <c r="AJ160" i="11"/>
  <c r="AI160" i="11"/>
  <c r="AG160" i="11"/>
  <c r="AF160" i="11"/>
  <c r="AE160" i="11"/>
  <c r="AD160" i="11"/>
  <c r="AB160" i="11"/>
  <c r="AA160" i="11"/>
  <c r="Z160" i="11"/>
  <c r="Y160" i="11"/>
  <c r="X160" i="11"/>
  <c r="W160" i="11"/>
  <c r="V160" i="11"/>
  <c r="T160" i="11"/>
  <c r="S160" i="11"/>
  <c r="R160" i="11"/>
  <c r="Q160" i="11"/>
  <c r="P160" i="11"/>
  <c r="O160" i="11"/>
  <c r="N160" i="11"/>
  <c r="L160" i="11"/>
  <c r="K160" i="11"/>
  <c r="J160" i="11"/>
  <c r="I160" i="11"/>
  <c r="H160" i="11"/>
  <c r="G160" i="11"/>
  <c r="E160" i="11"/>
  <c r="BM159" i="11"/>
  <c r="AZ159" i="11"/>
  <c r="AS159" i="11"/>
  <c r="BJ159" i="11" s="1"/>
  <c r="AH159" i="11"/>
  <c r="AC159" i="11"/>
  <c r="U159" i="11"/>
  <c r="M159" i="11"/>
  <c r="F159" i="11"/>
  <c r="AR159" i="11" s="1"/>
  <c r="BM158" i="11"/>
  <c r="AZ158" i="11"/>
  <c r="BJ158" i="11" s="1"/>
  <c r="AS158" i="11"/>
  <c r="AH158" i="11"/>
  <c r="AC158" i="11"/>
  <c r="U158" i="11"/>
  <c r="M158" i="11"/>
  <c r="AR158" i="11" s="1"/>
  <c r="F158" i="11"/>
  <c r="BM157" i="11"/>
  <c r="BJ157" i="11"/>
  <c r="AZ157" i="11"/>
  <c r="AS157" i="11"/>
  <c r="AH157" i="11"/>
  <c r="AC157" i="11"/>
  <c r="U157" i="11"/>
  <c r="AR157" i="11" s="1"/>
  <c r="M157" i="11"/>
  <c r="F157" i="11"/>
  <c r="BM156" i="11"/>
  <c r="AZ156" i="11"/>
  <c r="AS156" i="11"/>
  <c r="BJ156" i="11" s="1"/>
  <c r="BK156" i="11" s="1"/>
  <c r="AH156" i="11"/>
  <c r="AC156" i="11"/>
  <c r="AR156" i="11" s="1"/>
  <c r="U156" i="11"/>
  <c r="M156" i="11"/>
  <c r="F156" i="11"/>
  <c r="BM155" i="11"/>
  <c r="AZ155" i="11"/>
  <c r="AS155" i="11"/>
  <c r="BJ155" i="11" s="1"/>
  <c r="AH155" i="11"/>
  <c r="AC155" i="11"/>
  <c r="U155" i="11"/>
  <c r="M155" i="11"/>
  <c r="F155" i="11"/>
  <c r="AR155" i="11" s="1"/>
  <c r="BK155" i="11" s="1"/>
  <c r="BM154" i="11"/>
  <c r="AZ154" i="11"/>
  <c r="AS154" i="11"/>
  <c r="BJ154" i="11" s="1"/>
  <c r="AR154" i="11"/>
  <c r="AH154" i="11"/>
  <c r="AC154" i="11"/>
  <c r="U154" i="11"/>
  <c r="M154" i="11"/>
  <c r="F154" i="11"/>
  <c r="BM153" i="11"/>
  <c r="AZ153" i="11"/>
  <c r="AS153" i="11"/>
  <c r="BJ153" i="11" s="1"/>
  <c r="AH153" i="11"/>
  <c r="AC153" i="11"/>
  <c r="U153" i="11"/>
  <c r="M153" i="11"/>
  <c r="F153" i="11"/>
  <c r="AR153" i="11" s="1"/>
  <c r="BM152" i="11"/>
  <c r="AZ152" i="11"/>
  <c r="BJ152" i="11" s="1"/>
  <c r="AS152" i="11"/>
  <c r="AH152" i="11"/>
  <c r="AC152" i="11"/>
  <c r="U152" i="11"/>
  <c r="M152" i="11"/>
  <c r="AR152" i="11" s="1"/>
  <c r="BK152" i="11" s="1"/>
  <c r="F152" i="11"/>
  <c r="BM151" i="11"/>
  <c r="BJ151" i="11"/>
  <c r="AZ151" i="11"/>
  <c r="AS151" i="11"/>
  <c r="AH151" i="11"/>
  <c r="AC151" i="11"/>
  <c r="U151" i="11"/>
  <c r="AR151" i="11" s="1"/>
  <c r="BK151" i="11" s="1"/>
  <c r="M151" i="11"/>
  <c r="F151" i="11"/>
  <c r="BM150" i="11"/>
  <c r="BK150" i="11"/>
  <c r="AZ150" i="11"/>
  <c r="AS150" i="11"/>
  <c r="BJ150" i="11" s="1"/>
  <c r="AH150" i="11"/>
  <c r="AC150" i="11"/>
  <c r="AR150" i="11" s="1"/>
  <c r="U150" i="11"/>
  <c r="M150" i="11"/>
  <c r="F150" i="11"/>
  <c r="BM149" i="11"/>
  <c r="AZ149" i="11"/>
  <c r="AS149" i="11"/>
  <c r="BJ149" i="11" s="1"/>
  <c r="AH149" i="11"/>
  <c r="AC149" i="11"/>
  <c r="U149" i="11"/>
  <c r="M149" i="11"/>
  <c r="F149" i="11"/>
  <c r="BM148" i="11"/>
  <c r="AZ148" i="11"/>
  <c r="AS148" i="11"/>
  <c r="BJ148" i="11" s="1"/>
  <c r="AR148" i="11"/>
  <c r="BK148" i="11" s="1"/>
  <c r="AH148" i="11"/>
  <c r="AC148" i="11"/>
  <c r="U148" i="11"/>
  <c r="M148" i="11"/>
  <c r="F148" i="11"/>
  <c r="BM147" i="11"/>
  <c r="AZ147" i="11"/>
  <c r="AS147" i="11"/>
  <c r="BJ147" i="11" s="1"/>
  <c r="AH147" i="11"/>
  <c r="AC147" i="11"/>
  <c r="U147" i="11"/>
  <c r="M147" i="11"/>
  <c r="F147" i="11"/>
  <c r="AR147" i="11" s="1"/>
  <c r="BK147" i="11" s="1"/>
  <c r="BM146" i="11"/>
  <c r="AZ146" i="11"/>
  <c r="AS146" i="11"/>
  <c r="AH146" i="11"/>
  <c r="AC146" i="11"/>
  <c r="U146" i="11"/>
  <c r="M146" i="11"/>
  <c r="AR146" i="11" s="1"/>
  <c r="F146" i="11"/>
  <c r="BM145" i="11"/>
  <c r="BJ145" i="11"/>
  <c r="AZ145" i="11"/>
  <c r="AS145" i="11"/>
  <c r="AH145" i="11"/>
  <c r="AC145" i="11"/>
  <c r="U145" i="11"/>
  <c r="AR145" i="11" s="1"/>
  <c r="BK145" i="11" s="1"/>
  <c r="M145" i="11"/>
  <c r="F145" i="11"/>
  <c r="BM144" i="11"/>
  <c r="AZ144" i="11"/>
  <c r="AS144" i="11"/>
  <c r="BJ144" i="11" s="1"/>
  <c r="AH144" i="11"/>
  <c r="AC144" i="11"/>
  <c r="AR144" i="11" s="1"/>
  <c r="BK144" i="11" s="1"/>
  <c r="U144" i="11"/>
  <c r="M144" i="11"/>
  <c r="F144" i="11"/>
  <c r="BM143" i="11"/>
  <c r="AZ143" i="11"/>
  <c r="AS143" i="11"/>
  <c r="BJ143" i="11" s="1"/>
  <c r="AH143" i="11"/>
  <c r="AC143" i="11"/>
  <c r="U143" i="11"/>
  <c r="M143" i="11"/>
  <c r="F143" i="11"/>
  <c r="BM142" i="11"/>
  <c r="AZ142" i="11"/>
  <c r="AS142" i="11"/>
  <c r="BJ142" i="11" s="1"/>
  <c r="AR142" i="11"/>
  <c r="BK142" i="11" s="1"/>
  <c r="AH142" i="11"/>
  <c r="AC142" i="11"/>
  <c r="U142" i="11"/>
  <c r="M142" i="11"/>
  <c r="F142" i="11"/>
  <c r="BM141" i="11"/>
  <c r="AZ141" i="11"/>
  <c r="AS141" i="11"/>
  <c r="BJ141" i="11" s="1"/>
  <c r="AH141" i="11"/>
  <c r="AC141" i="11"/>
  <c r="U141" i="11"/>
  <c r="M141" i="11"/>
  <c r="F141" i="11"/>
  <c r="AR141" i="11" s="1"/>
  <c r="BK141" i="11" s="1"/>
  <c r="BM140" i="11"/>
  <c r="AZ140" i="11"/>
  <c r="AS140" i="11"/>
  <c r="BJ140" i="11" s="1"/>
  <c r="AH140" i="11"/>
  <c r="AC140" i="11"/>
  <c r="U140" i="11"/>
  <c r="M140" i="11"/>
  <c r="AR140" i="11" s="1"/>
  <c r="F140" i="11"/>
  <c r="BM139" i="11"/>
  <c r="BJ139" i="11"/>
  <c r="AZ139" i="11"/>
  <c r="AS139" i="11"/>
  <c r="AH139" i="11"/>
  <c r="AC139" i="11"/>
  <c r="U139" i="11"/>
  <c r="AR139" i="11" s="1"/>
  <c r="M139" i="11"/>
  <c r="F139" i="11"/>
  <c r="BM138" i="11"/>
  <c r="AZ138" i="11"/>
  <c r="AS138" i="11"/>
  <c r="BJ138" i="11" s="1"/>
  <c r="BK138" i="11" s="1"/>
  <c r="AH138" i="11"/>
  <c r="AC138" i="11"/>
  <c r="AR138" i="11" s="1"/>
  <c r="U138" i="11"/>
  <c r="M138" i="11"/>
  <c r="F138" i="11"/>
  <c r="BM137" i="11"/>
  <c r="AZ137" i="11"/>
  <c r="AS137" i="11"/>
  <c r="BJ137" i="11" s="1"/>
  <c r="AH137" i="11"/>
  <c r="AC137" i="11"/>
  <c r="U137" i="11"/>
  <c r="M137" i="11"/>
  <c r="F137" i="11"/>
  <c r="AR137" i="11" s="1"/>
  <c r="BM136" i="11"/>
  <c r="AZ136" i="11"/>
  <c r="AS136" i="11"/>
  <c r="BJ136" i="11" s="1"/>
  <c r="AR136" i="11"/>
  <c r="AH136" i="11"/>
  <c r="AC136" i="11"/>
  <c r="U136" i="11"/>
  <c r="M136" i="11"/>
  <c r="F136" i="11"/>
  <c r="BM135" i="11"/>
  <c r="AZ135" i="11"/>
  <c r="AS135" i="11"/>
  <c r="BJ135" i="11" s="1"/>
  <c r="AH135" i="11"/>
  <c r="AC135" i="11"/>
  <c r="U135" i="11"/>
  <c r="M135" i="11"/>
  <c r="F135" i="11"/>
  <c r="AR135" i="11" s="1"/>
  <c r="BM134" i="11"/>
  <c r="AZ134" i="11"/>
  <c r="AS134" i="11"/>
  <c r="BJ134" i="11" s="1"/>
  <c r="AH134" i="11"/>
  <c r="AC134" i="11"/>
  <c r="U134" i="11"/>
  <c r="M134" i="11"/>
  <c r="AR134" i="11" s="1"/>
  <c r="F134" i="11"/>
  <c r="BM133" i="11"/>
  <c r="BJ133" i="11"/>
  <c r="AZ133" i="11"/>
  <c r="AS133" i="11"/>
  <c r="AH133" i="11"/>
  <c r="AC133" i="11"/>
  <c r="U133" i="11"/>
  <c r="AR133" i="11" s="1"/>
  <c r="BK133" i="11" s="1"/>
  <c r="M133" i="11"/>
  <c r="F133" i="11"/>
  <c r="BM132" i="11"/>
  <c r="BK132" i="11"/>
  <c r="AZ132" i="11"/>
  <c r="AS132" i="11"/>
  <c r="BJ132" i="11" s="1"/>
  <c r="AH132" i="11"/>
  <c r="AC132" i="11"/>
  <c r="AR132" i="11" s="1"/>
  <c r="U132" i="11"/>
  <c r="M132" i="11"/>
  <c r="F132" i="11"/>
  <c r="BM131" i="11"/>
  <c r="AZ131" i="11"/>
  <c r="AS131" i="11"/>
  <c r="BJ131" i="11" s="1"/>
  <c r="AH131" i="11"/>
  <c r="AC131" i="11"/>
  <c r="U131" i="11"/>
  <c r="M131" i="11"/>
  <c r="F131" i="11"/>
  <c r="BM130" i="11"/>
  <c r="AZ130" i="11"/>
  <c r="AS130" i="11"/>
  <c r="BJ130" i="11" s="1"/>
  <c r="AR130" i="11"/>
  <c r="AH130" i="11"/>
  <c r="AC130" i="11"/>
  <c r="U130" i="11"/>
  <c r="M130" i="11"/>
  <c r="F130" i="11"/>
  <c r="BM129" i="11"/>
  <c r="AZ129" i="11"/>
  <c r="AS129" i="11"/>
  <c r="BJ129" i="11" s="1"/>
  <c r="AH129" i="11"/>
  <c r="AC129" i="11"/>
  <c r="U129" i="11"/>
  <c r="M129" i="11"/>
  <c r="F129" i="11"/>
  <c r="AR129" i="11" s="1"/>
  <c r="BK129" i="11" s="1"/>
  <c r="BM128" i="11"/>
  <c r="AZ128" i="11"/>
  <c r="BJ128" i="11" s="1"/>
  <c r="AS128" i="11"/>
  <c r="AH128" i="11"/>
  <c r="AC128" i="11"/>
  <c r="U128" i="11"/>
  <c r="M128" i="11"/>
  <c r="AR128" i="11" s="1"/>
  <c r="BK128" i="11" s="1"/>
  <c r="F128" i="11"/>
  <c r="BM127" i="11"/>
  <c r="BJ127" i="11"/>
  <c r="AZ127" i="11"/>
  <c r="AS127" i="11"/>
  <c r="AH127" i="11"/>
  <c r="AC127" i="11"/>
  <c r="U127" i="11"/>
  <c r="AR127" i="11" s="1"/>
  <c r="M127" i="11"/>
  <c r="F127" i="11"/>
  <c r="BM126" i="11"/>
  <c r="AZ126" i="11"/>
  <c r="AS126" i="11"/>
  <c r="BJ126" i="11" s="1"/>
  <c r="AR126" i="11"/>
  <c r="BK126" i="11" s="1"/>
  <c r="AH126" i="11"/>
  <c r="AC126" i="11"/>
  <c r="U126" i="11"/>
  <c r="M126" i="11"/>
  <c r="F126" i="11"/>
  <c r="BM125" i="11"/>
  <c r="AZ125" i="11"/>
  <c r="AS125" i="11"/>
  <c r="BJ125" i="11" s="1"/>
  <c r="AH125" i="11"/>
  <c r="AC125" i="11"/>
  <c r="U125" i="11"/>
  <c r="M125" i="11"/>
  <c r="F125" i="11"/>
  <c r="BM124" i="11"/>
  <c r="AZ124" i="11"/>
  <c r="AS124" i="11"/>
  <c r="BJ124" i="11" s="1"/>
  <c r="AH124" i="11"/>
  <c r="AC124" i="11"/>
  <c r="U124" i="11"/>
  <c r="M124" i="11"/>
  <c r="AR124" i="11" s="1"/>
  <c r="BK124" i="11" s="1"/>
  <c r="F124" i="11"/>
  <c r="BM123" i="11"/>
  <c r="BJ123" i="11"/>
  <c r="AZ123" i="11"/>
  <c r="AS123" i="11"/>
  <c r="AH123" i="11"/>
  <c r="AC123" i="11"/>
  <c r="U123" i="11"/>
  <c r="M123" i="11"/>
  <c r="F123" i="11"/>
  <c r="BM122" i="11"/>
  <c r="AZ122" i="11"/>
  <c r="BJ122" i="11" s="1"/>
  <c r="AS122" i="11"/>
  <c r="AR122" i="11"/>
  <c r="BK122" i="11" s="1"/>
  <c r="AH122" i="11"/>
  <c r="AC122" i="11"/>
  <c r="U122" i="11"/>
  <c r="M122" i="11"/>
  <c r="F122" i="11"/>
  <c r="BM121" i="11"/>
  <c r="AZ121" i="11"/>
  <c r="AS121" i="11"/>
  <c r="BJ121" i="11" s="1"/>
  <c r="AR121" i="11"/>
  <c r="AH121" i="11"/>
  <c r="AC121" i="11"/>
  <c r="U121" i="11"/>
  <c r="M121" i="11"/>
  <c r="F121" i="11"/>
  <c r="BM120" i="11"/>
  <c r="AZ120" i="11"/>
  <c r="AS120" i="11"/>
  <c r="BJ120" i="11" s="1"/>
  <c r="AH120" i="11"/>
  <c r="AC120" i="11"/>
  <c r="U120" i="11"/>
  <c r="M120" i="11"/>
  <c r="F120" i="11"/>
  <c r="AR120" i="11" s="1"/>
  <c r="BK120" i="11" s="1"/>
  <c r="BM119" i="11"/>
  <c r="AZ119" i="11"/>
  <c r="AS119" i="11"/>
  <c r="BJ119" i="11" s="1"/>
  <c r="AH119" i="11"/>
  <c r="AC119" i="11"/>
  <c r="U119" i="11"/>
  <c r="M119" i="11"/>
  <c r="F119" i="11"/>
  <c r="BM118" i="11"/>
  <c r="AZ118" i="11"/>
  <c r="AS118" i="11"/>
  <c r="AH118" i="11"/>
  <c r="AC118" i="11"/>
  <c r="U118" i="11"/>
  <c r="M118" i="11"/>
  <c r="F118" i="11"/>
  <c r="AR118" i="11" s="1"/>
  <c r="BM117" i="11"/>
  <c r="BJ117" i="11"/>
  <c r="AZ117" i="11"/>
  <c r="AS117" i="11"/>
  <c r="AH117" i="11"/>
  <c r="AC117" i="11"/>
  <c r="U117" i="11"/>
  <c r="M117" i="11"/>
  <c r="F117" i="11"/>
  <c r="BM116" i="11"/>
  <c r="AZ116" i="11"/>
  <c r="AS116" i="11"/>
  <c r="BJ116" i="11" s="1"/>
  <c r="AR116" i="11"/>
  <c r="BK116" i="11" s="1"/>
  <c r="AH116" i="11"/>
  <c r="AC116" i="11"/>
  <c r="U116" i="11"/>
  <c r="M116" i="11"/>
  <c r="F116" i="11"/>
  <c r="BM115" i="11"/>
  <c r="AZ115" i="11"/>
  <c r="AS115" i="11"/>
  <c r="AH115" i="11"/>
  <c r="AC115" i="11"/>
  <c r="U115" i="11"/>
  <c r="M115" i="11"/>
  <c r="F115" i="11"/>
  <c r="AR115" i="11" s="1"/>
  <c r="BM114" i="11"/>
  <c r="AZ114" i="11"/>
  <c r="BJ114" i="11" s="1"/>
  <c r="AS114" i="11"/>
  <c r="AH114" i="11"/>
  <c r="AC114" i="11"/>
  <c r="U114" i="11"/>
  <c r="M114" i="11"/>
  <c r="AR114" i="11" s="1"/>
  <c r="F114" i="11"/>
  <c r="BM113" i="11"/>
  <c r="AZ113" i="11"/>
  <c r="AS113" i="11"/>
  <c r="BJ113" i="11" s="1"/>
  <c r="AH113" i="11"/>
  <c r="AC113" i="11"/>
  <c r="U113" i="11"/>
  <c r="M113" i="11"/>
  <c r="F113" i="11"/>
  <c r="BM112" i="11"/>
  <c r="AZ112" i="11"/>
  <c r="AS112" i="11"/>
  <c r="AH112" i="11"/>
  <c r="AC112" i="11"/>
  <c r="U112" i="11"/>
  <c r="M112" i="11"/>
  <c r="F112" i="11"/>
  <c r="BM111" i="11"/>
  <c r="BJ111" i="11"/>
  <c r="AZ111" i="11"/>
  <c r="AS111" i="11"/>
  <c r="AH111" i="11"/>
  <c r="AC111" i="11"/>
  <c r="U111" i="11"/>
  <c r="AR111" i="11" s="1"/>
  <c r="BK111" i="11" s="1"/>
  <c r="M111" i="11"/>
  <c r="F111" i="11"/>
  <c r="BM110" i="11"/>
  <c r="BK110" i="11"/>
  <c r="AZ110" i="11"/>
  <c r="AS110" i="11"/>
  <c r="BJ110" i="11" s="1"/>
  <c r="AR110" i="11"/>
  <c r="AH110" i="11"/>
  <c r="AC110" i="11"/>
  <c r="U110" i="11"/>
  <c r="M110" i="11"/>
  <c r="F110" i="11"/>
  <c r="BM109" i="11"/>
  <c r="AZ109" i="11"/>
  <c r="AS109" i="11"/>
  <c r="AH109" i="11"/>
  <c r="AC109" i="11"/>
  <c r="U109" i="11"/>
  <c r="M109" i="11"/>
  <c r="F109" i="11"/>
  <c r="AR109" i="11" s="1"/>
  <c r="BM108" i="11"/>
  <c r="AZ108" i="11"/>
  <c r="BJ108" i="11" s="1"/>
  <c r="AS108" i="11"/>
  <c r="AH108" i="11"/>
  <c r="AC108" i="11"/>
  <c r="U108" i="11"/>
  <c r="M108" i="11"/>
  <c r="F108" i="11"/>
  <c r="BM107" i="11"/>
  <c r="BJ107" i="11"/>
  <c r="AZ107" i="11"/>
  <c r="AS107" i="11"/>
  <c r="AH107" i="11"/>
  <c r="AC107" i="11"/>
  <c r="U107" i="11"/>
  <c r="AR107" i="11" s="1"/>
  <c r="BK107" i="11" s="1"/>
  <c r="M107" i="11"/>
  <c r="F107" i="11"/>
  <c r="BM106" i="11"/>
  <c r="AZ106" i="11"/>
  <c r="AS106" i="11"/>
  <c r="BJ106" i="11" s="1"/>
  <c r="AH106" i="11"/>
  <c r="AC106" i="11"/>
  <c r="U106" i="11"/>
  <c r="M106" i="11"/>
  <c r="F106" i="11"/>
  <c r="BM105" i="11"/>
  <c r="BJ105" i="11"/>
  <c r="AZ105" i="11"/>
  <c r="AS105" i="11"/>
  <c r="AH105" i="11"/>
  <c r="AC105" i="11"/>
  <c r="U105" i="11"/>
  <c r="AR105" i="11" s="1"/>
  <c r="BK105" i="11" s="1"/>
  <c r="M105" i="11"/>
  <c r="F105" i="11"/>
  <c r="BM104" i="11"/>
  <c r="AZ104" i="11"/>
  <c r="AS104" i="11"/>
  <c r="BJ104" i="11" s="1"/>
  <c r="AH104" i="11"/>
  <c r="AC104" i="11"/>
  <c r="U104" i="11"/>
  <c r="M104" i="11"/>
  <c r="F104" i="11"/>
  <c r="AR104" i="11" s="1"/>
  <c r="BK104" i="11" s="1"/>
  <c r="BM103" i="11"/>
  <c r="AZ103" i="11"/>
  <c r="AS103" i="11"/>
  <c r="AH103" i="11"/>
  <c r="AC103" i="11"/>
  <c r="U103" i="11"/>
  <c r="M103" i="11"/>
  <c r="F103" i="11"/>
  <c r="BM102" i="11"/>
  <c r="BJ102" i="11"/>
  <c r="AZ102" i="11"/>
  <c r="AS102" i="11"/>
  <c r="AR102" i="11"/>
  <c r="BK102" i="11" s="1"/>
  <c r="AH102" i="11"/>
  <c r="AC102" i="11"/>
  <c r="U102" i="11"/>
  <c r="M102" i="11"/>
  <c r="F102" i="11"/>
  <c r="BM101" i="11"/>
  <c r="AZ101" i="11"/>
  <c r="AS101" i="11"/>
  <c r="BJ101" i="11" s="1"/>
  <c r="AH101" i="11"/>
  <c r="AC101" i="11"/>
  <c r="U101" i="11"/>
  <c r="M101" i="11"/>
  <c r="F101" i="11"/>
  <c r="AR101" i="11" s="1"/>
  <c r="BK101" i="11" s="1"/>
  <c r="BM100" i="11"/>
  <c r="AZ100" i="11"/>
  <c r="AS100" i="11"/>
  <c r="AH100" i="11"/>
  <c r="AC100" i="11"/>
  <c r="U100" i="11"/>
  <c r="M100" i="11"/>
  <c r="F100" i="11"/>
  <c r="BM99" i="11"/>
  <c r="AZ99" i="11"/>
  <c r="BJ99" i="11" s="1"/>
  <c r="AS99" i="11"/>
  <c r="AH99" i="11"/>
  <c r="AC99" i="11"/>
  <c r="U99" i="11"/>
  <c r="M99" i="11"/>
  <c r="F99" i="11"/>
  <c r="BM98" i="11"/>
  <c r="BJ98" i="11"/>
  <c r="AZ98" i="11"/>
  <c r="AS98" i="11"/>
  <c r="AH98" i="11"/>
  <c r="AC98" i="11"/>
  <c r="U98" i="11"/>
  <c r="AR98" i="11" s="1"/>
  <c r="M98" i="11"/>
  <c r="F98" i="11"/>
  <c r="BM97" i="11"/>
  <c r="AZ97" i="11"/>
  <c r="AS97" i="11"/>
  <c r="BJ97" i="11" s="1"/>
  <c r="AH97" i="11"/>
  <c r="AC97" i="11"/>
  <c r="U97" i="11"/>
  <c r="M97" i="11"/>
  <c r="F97" i="11"/>
  <c r="BM96" i="11"/>
  <c r="BJ96" i="11"/>
  <c r="AZ96" i="11"/>
  <c r="AS96" i="11"/>
  <c r="AH96" i="11"/>
  <c r="AC96" i="11"/>
  <c r="U96" i="11"/>
  <c r="AR96" i="11" s="1"/>
  <c r="BK96" i="11" s="1"/>
  <c r="M96" i="11"/>
  <c r="F96" i="11"/>
  <c r="BM95" i="11"/>
  <c r="AZ95" i="11"/>
  <c r="AS95" i="11"/>
  <c r="BJ95" i="11" s="1"/>
  <c r="AH95" i="11"/>
  <c r="AC95" i="11"/>
  <c r="U95" i="11"/>
  <c r="M95" i="11"/>
  <c r="F95" i="11"/>
  <c r="AR95" i="11" s="1"/>
  <c r="BM94" i="11"/>
  <c r="AZ94" i="11"/>
  <c r="AS94" i="11"/>
  <c r="AH94" i="11"/>
  <c r="AC94" i="11"/>
  <c r="U94" i="11"/>
  <c r="M94" i="11"/>
  <c r="AR94" i="11" s="1"/>
  <c r="F94" i="11"/>
  <c r="BM93" i="11"/>
  <c r="AZ93" i="11"/>
  <c r="AS93" i="11"/>
  <c r="BJ93" i="11" s="1"/>
  <c r="AH93" i="11"/>
  <c r="AC93" i="11"/>
  <c r="U93" i="11"/>
  <c r="M93" i="11"/>
  <c r="F93" i="11"/>
  <c r="AR93" i="11" s="1"/>
  <c r="BM92" i="11"/>
  <c r="BJ92" i="11"/>
  <c r="AZ92" i="11"/>
  <c r="AS92" i="11"/>
  <c r="AH92" i="11"/>
  <c r="AC92" i="11"/>
  <c r="U92" i="11"/>
  <c r="AR92" i="11" s="1"/>
  <c r="BK92" i="11" s="1"/>
  <c r="M92" i="11"/>
  <c r="F92" i="11"/>
  <c r="BM91" i="11"/>
  <c r="BJ91" i="11"/>
  <c r="AZ91" i="11"/>
  <c r="AS91" i="11"/>
  <c r="AH91" i="11"/>
  <c r="AC91" i="11"/>
  <c r="U91" i="11"/>
  <c r="M91" i="11"/>
  <c r="F91" i="11"/>
  <c r="BM90" i="11"/>
  <c r="BJ90" i="11"/>
  <c r="AZ90" i="11"/>
  <c r="AS90" i="11"/>
  <c r="AH90" i="11"/>
  <c r="AC90" i="11"/>
  <c r="AR90" i="11" s="1"/>
  <c r="BK90" i="11" s="1"/>
  <c r="U90" i="11"/>
  <c r="M90" i="11"/>
  <c r="F90" i="11"/>
  <c r="BM89" i="11"/>
  <c r="AZ89" i="11"/>
  <c r="AS89" i="11"/>
  <c r="BJ89" i="11" s="1"/>
  <c r="AH89" i="11"/>
  <c r="AC89" i="11"/>
  <c r="U89" i="11"/>
  <c r="M89" i="11"/>
  <c r="F89" i="11"/>
  <c r="AR89" i="11" s="1"/>
  <c r="BM88" i="11"/>
  <c r="AZ88" i="11"/>
  <c r="AS88" i="11"/>
  <c r="AR88" i="11"/>
  <c r="AH88" i="11"/>
  <c r="AC88" i="11"/>
  <c r="U88" i="11"/>
  <c r="M88" i="11"/>
  <c r="F88" i="11"/>
  <c r="BM87" i="11"/>
  <c r="BJ87" i="11"/>
  <c r="AZ87" i="11"/>
  <c r="AS87" i="11"/>
  <c r="AR87" i="11"/>
  <c r="BK87" i="11" s="1"/>
  <c r="AH87" i="11"/>
  <c r="AC87" i="11"/>
  <c r="U87" i="11"/>
  <c r="M87" i="11"/>
  <c r="F87" i="11"/>
  <c r="BM86" i="11"/>
  <c r="AZ86" i="11"/>
  <c r="AS86" i="11"/>
  <c r="BJ86" i="11" s="1"/>
  <c r="AH86" i="11"/>
  <c r="AC86" i="11"/>
  <c r="U86" i="11"/>
  <c r="M86" i="11"/>
  <c r="F86" i="11"/>
  <c r="AR86" i="11" s="1"/>
  <c r="BM85" i="11"/>
  <c r="AZ85" i="11"/>
  <c r="AS85" i="11"/>
  <c r="AH85" i="11"/>
  <c r="AC85" i="11"/>
  <c r="U85" i="11"/>
  <c r="M85" i="11"/>
  <c r="F85" i="11"/>
  <c r="AR85" i="11" s="1"/>
  <c r="BM84" i="11"/>
  <c r="BJ84" i="11"/>
  <c r="AZ84" i="11"/>
  <c r="AS84" i="11"/>
  <c r="AH84" i="11"/>
  <c r="AC84" i="11"/>
  <c r="U84" i="11"/>
  <c r="M84" i="11"/>
  <c r="AR84" i="11" s="1"/>
  <c r="BK84" i="11" s="1"/>
  <c r="F84" i="11"/>
  <c r="BM83" i="11"/>
  <c r="AZ83" i="11"/>
  <c r="AS83" i="11"/>
  <c r="BJ83" i="11" s="1"/>
  <c r="AH83" i="11"/>
  <c r="AC83" i="11"/>
  <c r="U83" i="11"/>
  <c r="M83" i="11"/>
  <c r="F83" i="11"/>
  <c r="BM82" i="11"/>
  <c r="AZ82" i="11"/>
  <c r="AS82" i="11"/>
  <c r="BJ82" i="11" s="1"/>
  <c r="AH82" i="11"/>
  <c r="AC82" i="11"/>
  <c r="U82" i="11"/>
  <c r="M82" i="11"/>
  <c r="F82" i="11"/>
  <c r="AR82" i="11" s="1"/>
  <c r="BK82" i="11" s="1"/>
  <c r="BM81" i="11"/>
  <c r="BJ81" i="11"/>
  <c r="AZ81" i="11"/>
  <c r="AS81" i="11"/>
  <c r="AR81" i="11"/>
  <c r="BK81" i="11" s="1"/>
  <c r="AH81" i="11"/>
  <c r="AC81" i="11"/>
  <c r="U81" i="11"/>
  <c r="M81" i="11"/>
  <c r="F81" i="11"/>
  <c r="BM80" i="11"/>
  <c r="AZ80" i="11"/>
  <c r="AS80" i="11"/>
  <c r="BJ80" i="11" s="1"/>
  <c r="AH80" i="11"/>
  <c r="AC80" i="11"/>
  <c r="U80" i="11"/>
  <c r="M80" i="11"/>
  <c r="F80" i="11"/>
  <c r="AR80" i="11" s="1"/>
  <c r="BM79" i="11"/>
  <c r="AZ79" i="11"/>
  <c r="AS79" i="11"/>
  <c r="AH79" i="11"/>
  <c r="AC79" i="11"/>
  <c r="U79" i="11"/>
  <c r="M79" i="11"/>
  <c r="F79" i="11"/>
  <c r="AR79" i="11" s="1"/>
  <c r="BM78" i="11"/>
  <c r="BJ78" i="11"/>
  <c r="AZ78" i="11"/>
  <c r="AS78" i="11"/>
  <c r="AH78" i="11"/>
  <c r="AC78" i="11"/>
  <c r="U78" i="11"/>
  <c r="M78" i="11"/>
  <c r="AR78" i="11" s="1"/>
  <c r="BK78" i="11" s="1"/>
  <c r="F78" i="11"/>
  <c r="BM77" i="11"/>
  <c r="AZ77" i="11"/>
  <c r="AS77" i="11"/>
  <c r="BJ77" i="11" s="1"/>
  <c r="AH77" i="11"/>
  <c r="AC77" i="11"/>
  <c r="U77" i="11"/>
  <c r="M77" i="11"/>
  <c r="F77" i="11"/>
  <c r="BM76" i="11"/>
  <c r="AZ76" i="11"/>
  <c r="AS76" i="11"/>
  <c r="BJ76" i="11" s="1"/>
  <c r="AH76" i="11"/>
  <c r="AC76" i="11"/>
  <c r="U76" i="11"/>
  <c r="M76" i="11"/>
  <c r="F76" i="11"/>
  <c r="AR76" i="11" s="1"/>
  <c r="BK76" i="11" s="1"/>
  <c r="BM75" i="11"/>
  <c r="BJ75" i="11"/>
  <c r="AZ75" i="11"/>
  <c r="AS75" i="11"/>
  <c r="AR75" i="11"/>
  <c r="BK75" i="11" s="1"/>
  <c r="AH75" i="11"/>
  <c r="AC75" i="11"/>
  <c r="U75" i="11"/>
  <c r="M75" i="11"/>
  <c r="F75" i="11"/>
  <c r="BM74" i="11"/>
  <c r="AZ74" i="11"/>
  <c r="AS74" i="11"/>
  <c r="BJ74" i="11" s="1"/>
  <c r="AH74" i="11"/>
  <c r="AC74" i="11"/>
  <c r="U74" i="11"/>
  <c r="M74" i="11"/>
  <c r="F74" i="11"/>
  <c r="AR74" i="11" s="1"/>
  <c r="BK74" i="11" s="1"/>
  <c r="BM73" i="11"/>
  <c r="AZ73" i="11"/>
  <c r="AS73" i="11"/>
  <c r="BJ73" i="11" s="1"/>
  <c r="AH73" i="11"/>
  <c r="AC73" i="11"/>
  <c r="U73" i="11"/>
  <c r="M73" i="11"/>
  <c r="F73" i="11"/>
  <c r="BM72" i="11"/>
  <c r="BJ72" i="11"/>
  <c r="AZ72" i="11"/>
  <c r="AS72" i="11"/>
  <c r="AH72" i="11"/>
  <c r="AC72" i="11"/>
  <c r="U72" i="11"/>
  <c r="AR72" i="11" s="1"/>
  <c r="BK72" i="11" s="1"/>
  <c r="M72" i="11"/>
  <c r="F72" i="11"/>
  <c r="BM71" i="11"/>
  <c r="AZ71" i="11"/>
  <c r="AS71" i="11"/>
  <c r="BJ71" i="11" s="1"/>
  <c r="AH71" i="11"/>
  <c r="AC71" i="11"/>
  <c r="U71" i="11"/>
  <c r="M71" i="11"/>
  <c r="F71" i="11"/>
  <c r="BM70" i="11"/>
  <c r="AZ70" i="11"/>
  <c r="AS70" i="11"/>
  <c r="AH70" i="11"/>
  <c r="AC70" i="11"/>
  <c r="U70" i="11"/>
  <c r="M70" i="11"/>
  <c r="F70" i="11"/>
  <c r="AR70" i="11" s="1"/>
  <c r="BM69" i="11"/>
  <c r="BJ69" i="11"/>
  <c r="AZ69" i="11"/>
  <c r="AS69" i="11"/>
  <c r="AH69" i="11"/>
  <c r="AC69" i="11"/>
  <c r="U69" i="11"/>
  <c r="AR69" i="11" s="1"/>
  <c r="BK69" i="11" s="1"/>
  <c r="M69" i="11"/>
  <c r="F69" i="11"/>
  <c r="BM68" i="11"/>
  <c r="AZ68" i="11"/>
  <c r="AS68" i="11"/>
  <c r="BJ68" i="11" s="1"/>
  <c r="AH68" i="11"/>
  <c r="AC68" i="11"/>
  <c r="U68" i="11"/>
  <c r="M68" i="11"/>
  <c r="F68" i="11"/>
  <c r="AR68" i="11" s="1"/>
  <c r="BK68" i="11" s="1"/>
  <c r="BM67" i="11"/>
  <c r="AZ67" i="11"/>
  <c r="AS67" i="11"/>
  <c r="BJ67" i="11" s="1"/>
  <c r="AH67" i="11"/>
  <c r="AC67" i="11"/>
  <c r="U67" i="11"/>
  <c r="M67" i="11"/>
  <c r="F67" i="11"/>
  <c r="BM66" i="11"/>
  <c r="BJ66" i="11"/>
  <c r="AZ66" i="11"/>
  <c r="AS66" i="11"/>
  <c r="AH66" i="11"/>
  <c r="AC66" i="11"/>
  <c r="U66" i="11"/>
  <c r="AR66" i="11" s="1"/>
  <c r="BK66" i="11" s="1"/>
  <c r="M66" i="11"/>
  <c r="F66" i="11"/>
  <c r="BM65" i="11"/>
  <c r="AZ65" i="11"/>
  <c r="AS65" i="11"/>
  <c r="BJ65" i="11" s="1"/>
  <c r="AH65" i="11"/>
  <c r="AC65" i="11"/>
  <c r="U65" i="11"/>
  <c r="M65" i="11"/>
  <c r="F65" i="11"/>
  <c r="AR65" i="11" s="1"/>
  <c r="BM64" i="11"/>
  <c r="AZ64" i="11"/>
  <c r="AS64" i="11"/>
  <c r="AH64" i="11"/>
  <c r="AC64" i="11"/>
  <c r="U64" i="11"/>
  <c r="M64" i="11"/>
  <c r="F64" i="11"/>
  <c r="BM63" i="11"/>
  <c r="AZ63" i="11"/>
  <c r="BJ63" i="11" s="1"/>
  <c r="AS63" i="11"/>
  <c r="AH63" i="11"/>
  <c r="AC63" i="11"/>
  <c r="U63" i="11"/>
  <c r="M63" i="11"/>
  <c r="F63" i="11"/>
  <c r="BM62" i="11"/>
  <c r="AZ62" i="11"/>
  <c r="AS62" i="11"/>
  <c r="BJ62" i="11" s="1"/>
  <c r="AH62" i="11"/>
  <c r="AC62" i="11"/>
  <c r="U62" i="11"/>
  <c r="M62" i="11"/>
  <c r="F62" i="11"/>
  <c r="AR62" i="11" s="1"/>
  <c r="BK62" i="11" s="1"/>
  <c r="BM61" i="11"/>
  <c r="AZ61" i="11"/>
  <c r="AS61" i="11"/>
  <c r="BJ61" i="11" s="1"/>
  <c r="AH61" i="11"/>
  <c r="AC61" i="11"/>
  <c r="AR61" i="11" s="1"/>
  <c r="BK61" i="11" s="1"/>
  <c r="U61" i="11"/>
  <c r="M61" i="11"/>
  <c r="F61" i="11"/>
  <c r="BM60" i="11"/>
  <c r="BJ60" i="11"/>
  <c r="AZ60" i="11"/>
  <c r="AS60" i="11"/>
  <c r="AH60" i="11"/>
  <c r="AC60" i="11"/>
  <c r="U60" i="11"/>
  <c r="M60" i="11"/>
  <c r="F60" i="11"/>
  <c r="BM59" i="11"/>
  <c r="BJ59" i="11"/>
  <c r="AZ59" i="11"/>
  <c r="AS59" i="11"/>
  <c r="AH59" i="11"/>
  <c r="AC59" i="11"/>
  <c r="AR59" i="11" s="1"/>
  <c r="BK59" i="11" s="1"/>
  <c r="U59" i="11"/>
  <c r="M59" i="11"/>
  <c r="F59" i="11"/>
  <c r="BM58" i="11"/>
  <c r="AZ58" i="11"/>
  <c r="AS58" i="11"/>
  <c r="BJ58" i="11" s="1"/>
  <c r="AH58" i="11"/>
  <c r="AC58" i="11"/>
  <c r="U58" i="11"/>
  <c r="M58" i="11"/>
  <c r="F58" i="11"/>
  <c r="BM57" i="11"/>
  <c r="AZ57" i="11"/>
  <c r="BJ57" i="11" s="1"/>
  <c r="AS57" i="11"/>
  <c r="AR57" i="11"/>
  <c r="BK57" i="11" s="1"/>
  <c r="AH57" i="11"/>
  <c r="AC57" i="11"/>
  <c r="U57" i="11"/>
  <c r="M57" i="11"/>
  <c r="F57" i="11"/>
  <c r="BM56" i="11"/>
  <c r="AZ56" i="11"/>
  <c r="AS56" i="11"/>
  <c r="BJ56" i="11" s="1"/>
  <c r="AH56" i="11"/>
  <c r="AC56" i="11"/>
  <c r="U56" i="11"/>
  <c r="M56" i="11"/>
  <c r="F56" i="11"/>
  <c r="AR56" i="11" s="1"/>
  <c r="BK56" i="11" s="1"/>
  <c r="BM55" i="11"/>
  <c r="AZ55" i="11"/>
  <c r="AS55" i="11"/>
  <c r="AH55" i="11"/>
  <c r="AC55" i="11"/>
  <c r="U55" i="11"/>
  <c r="M55" i="11"/>
  <c r="F55" i="11"/>
  <c r="AR55" i="11" s="1"/>
  <c r="BM54" i="11"/>
  <c r="BJ54" i="11"/>
  <c r="AZ54" i="11"/>
  <c r="AS54" i="11"/>
  <c r="AH54" i="11"/>
  <c r="AC54" i="11"/>
  <c r="U54" i="11"/>
  <c r="M54" i="11"/>
  <c r="F54" i="11"/>
  <c r="BM53" i="11"/>
  <c r="BJ53" i="11"/>
  <c r="AZ53" i="11"/>
  <c r="AS53" i="11"/>
  <c r="AH53" i="11"/>
  <c r="AC53" i="11"/>
  <c r="AR53" i="11" s="1"/>
  <c r="BK53" i="11" s="1"/>
  <c r="U53" i="11"/>
  <c r="M53" i="11"/>
  <c r="F53" i="11"/>
  <c r="BM52" i="11"/>
  <c r="AZ52" i="11"/>
  <c r="AS52" i="11"/>
  <c r="BJ52" i="11" s="1"/>
  <c r="AH52" i="11"/>
  <c r="AC52" i="11"/>
  <c r="U52" i="11"/>
  <c r="M52" i="11"/>
  <c r="F52" i="11"/>
  <c r="BM51" i="11"/>
  <c r="AZ51" i="11"/>
  <c r="BJ51" i="11" s="1"/>
  <c r="AS51" i="11"/>
  <c r="AR51" i="11"/>
  <c r="BK51" i="11" s="1"/>
  <c r="AH51" i="11"/>
  <c r="AC51" i="11"/>
  <c r="U51" i="11"/>
  <c r="M51" i="11"/>
  <c r="F51" i="11"/>
  <c r="BM50" i="11"/>
  <c r="AZ50" i="11"/>
  <c r="AS50" i="11"/>
  <c r="BJ50" i="11" s="1"/>
  <c r="AH50" i="11"/>
  <c r="AC50" i="11"/>
  <c r="U50" i="11"/>
  <c r="M50" i="11"/>
  <c r="F50" i="11"/>
  <c r="AR50" i="11" s="1"/>
  <c r="BK50" i="11" s="1"/>
  <c r="BM49" i="11"/>
  <c r="AZ49" i="11"/>
  <c r="AS49" i="11"/>
  <c r="AH49" i="11"/>
  <c r="AC49" i="11"/>
  <c r="U49" i="11"/>
  <c r="M49" i="11"/>
  <c r="F49" i="11"/>
  <c r="AR49" i="11" s="1"/>
  <c r="BM48" i="11"/>
  <c r="BJ48" i="11"/>
  <c r="AZ48" i="11"/>
  <c r="AS48" i="11"/>
  <c r="AH48" i="11"/>
  <c r="AC48" i="11"/>
  <c r="U48" i="11"/>
  <c r="M48" i="11"/>
  <c r="F48" i="11"/>
  <c r="BM47" i="11"/>
  <c r="BJ47" i="11"/>
  <c r="AZ47" i="11"/>
  <c r="AS47" i="11"/>
  <c r="AH47" i="11"/>
  <c r="AC47" i="11"/>
  <c r="AR47" i="11" s="1"/>
  <c r="BK47" i="11" s="1"/>
  <c r="U47" i="11"/>
  <c r="M47" i="11"/>
  <c r="F47" i="11"/>
  <c r="BM46" i="11"/>
  <c r="AZ46" i="11"/>
  <c r="AS46" i="11"/>
  <c r="BJ46" i="11" s="1"/>
  <c r="AH46" i="11"/>
  <c r="AC46" i="11"/>
  <c r="U46" i="11"/>
  <c r="M46" i="11"/>
  <c r="F46" i="11"/>
  <c r="BM45" i="11"/>
  <c r="AZ45" i="11"/>
  <c r="BJ45" i="11" s="1"/>
  <c r="AS45" i="11"/>
  <c r="AR45" i="11"/>
  <c r="BK45" i="11" s="1"/>
  <c r="AH45" i="11"/>
  <c r="AC45" i="11"/>
  <c r="U45" i="11"/>
  <c r="M45" i="11"/>
  <c r="F45" i="11"/>
  <c r="BM44" i="11"/>
  <c r="AZ44" i="11"/>
  <c r="AS44" i="11"/>
  <c r="BJ44" i="11" s="1"/>
  <c r="AH44" i="11"/>
  <c r="AC44" i="11"/>
  <c r="U44" i="11"/>
  <c r="M44" i="11"/>
  <c r="F44" i="11"/>
  <c r="AR44" i="11" s="1"/>
  <c r="BK44" i="11" s="1"/>
  <c r="BM43" i="11"/>
  <c r="AZ43" i="11"/>
  <c r="AS43" i="11"/>
  <c r="AH43" i="11"/>
  <c r="AC43" i="11"/>
  <c r="U43" i="11"/>
  <c r="M43" i="11"/>
  <c r="F43" i="11"/>
  <c r="AR43" i="11" s="1"/>
  <c r="BM42" i="11"/>
  <c r="BJ42" i="11"/>
  <c r="AZ42" i="11"/>
  <c r="AS42" i="11"/>
  <c r="AH42" i="11"/>
  <c r="AC42" i="11"/>
  <c r="U42" i="11"/>
  <c r="M42" i="11"/>
  <c r="F42" i="11"/>
  <c r="BM41" i="11"/>
  <c r="BJ41" i="11"/>
  <c r="AZ41" i="11"/>
  <c r="AS41" i="11"/>
  <c r="AH41" i="11"/>
  <c r="AC41" i="11"/>
  <c r="AR41" i="11" s="1"/>
  <c r="BK41" i="11" s="1"/>
  <c r="U41" i="11"/>
  <c r="M41" i="11"/>
  <c r="F41" i="11"/>
  <c r="BM40" i="11"/>
  <c r="AZ40" i="11"/>
  <c r="AS40" i="11"/>
  <c r="BJ40" i="11" s="1"/>
  <c r="AH40" i="11"/>
  <c r="AC40" i="11"/>
  <c r="U40" i="11"/>
  <c r="M40" i="11"/>
  <c r="F40" i="11"/>
  <c r="BM39" i="11"/>
  <c r="AZ39" i="11"/>
  <c r="BJ39" i="11" s="1"/>
  <c r="AS39" i="11"/>
  <c r="AR39" i="11"/>
  <c r="BK39" i="11" s="1"/>
  <c r="AH39" i="11"/>
  <c r="AC39" i="11"/>
  <c r="U39" i="11"/>
  <c r="M39" i="11"/>
  <c r="F39" i="11"/>
  <c r="BM38" i="11"/>
  <c r="AZ38" i="11"/>
  <c r="AS38" i="11"/>
  <c r="BJ38" i="11" s="1"/>
  <c r="AH38" i="11"/>
  <c r="AC38" i="11"/>
  <c r="U38" i="11"/>
  <c r="M38" i="11"/>
  <c r="F38" i="11"/>
  <c r="AR38" i="11" s="1"/>
  <c r="BK38" i="11" s="1"/>
  <c r="BM37" i="11"/>
  <c r="AZ37" i="11"/>
  <c r="AS37" i="11"/>
  <c r="AH37" i="11"/>
  <c r="AC37" i="11"/>
  <c r="U37" i="11"/>
  <c r="M37" i="11"/>
  <c r="F37" i="11"/>
  <c r="AR37" i="11" s="1"/>
  <c r="BM36" i="11"/>
  <c r="BJ36" i="11"/>
  <c r="AZ36" i="11"/>
  <c r="AS36" i="11"/>
  <c r="AH36" i="11"/>
  <c r="AC36" i="11"/>
  <c r="U36" i="11"/>
  <c r="M36" i="11"/>
  <c r="F36" i="11"/>
  <c r="BM35" i="11"/>
  <c r="BJ35" i="11"/>
  <c r="AZ35" i="11"/>
  <c r="AS35" i="11"/>
  <c r="AH35" i="11"/>
  <c r="AC35" i="11"/>
  <c r="AR35" i="11" s="1"/>
  <c r="BK35" i="11" s="1"/>
  <c r="U35" i="11"/>
  <c r="M35" i="11"/>
  <c r="F35" i="11"/>
  <c r="BM34" i="11"/>
  <c r="AZ34" i="11"/>
  <c r="AS34" i="11"/>
  <c r="BJ34" i="11" s="1"/>
  <c r="AH34" i="11"/>
  <c r="AC34" i="11"/>
  <c r="U34" i="11"/>
  <c r="M34" i="11"/>
  <c r="F34" i="11"/>
  <c r="AR34" i="11" s="1"/>
  <c r="BK34" i="11" s="1"/>
  <c r="BM33" i="11"/>
  <c r="AZ33" i="11"/>
  <c r="BJ33" i="11" s="1"/>
  <c r="AS33" i="11"/>
  <c r="AH33" i="11"/>
  <c r="AC33" i="11"/>
  <c r="U33" i="11"/>
  <c r="M33" i="11"/>
  <c r="AR33" i="11" s="1"/>
  <c r="BK33" i="11" s="1"/>
  <c r="F33" i="11"/>
  <c r="BM32" i="11"/>
  <c r="BJ32" i="11"/>
  <c r="AZ32" i="11"/>
  <c r="AS32" i="11"/>
  <c r="AR32" i="11"/>
  <c r="BK32" i="11" s="1"/>
  <c r="AH32" i="11"/>
  <c r="AC32" i="11"/>
  <c r="U32" i="11"/>
  <c r="M32" i="11"/>
  <c r="F32" i="11"/>
  <c r="BM31" i="11"/>
  <c r="AZ31" i="11"/>
  <c r="AS31" i="11"/>
  <c r="AH31" i="11"/>
  <c r="AC31" i="11"/>
  <c r="U31" i="11"/>
  <c r="M31" i="11"/>
  <c r="F31" i="11"/>
  <c r="AR31" i="11" s="1"/>
  <c r="BM30" i="11"/>
  <c r="BJ30" i="11"/>
  <c r="AZ30" i="11"/>
  <c r="AS30" i="11"/>
  <c r="AH30" i="11"/>
  <c r="AC30" i="11"/>
  <c r="U30" i="11"/>
  <c r="M30" i="11"/>
  <c r="AR30" i="11" s="1"/>
  <c r="F30" i="11"/>
  <c r="BM29" i="11"/>
  <c r="BJ29" i="11"/>
  <c r="AZ29" i="11"/>
  <c r="AS29" i="11"/>
  <c r="AH29" i="11"/>
  <c r="AC29" i="11"/>
  <c r="U29" i="11"/>
  <c r="AR29" i="11" s="1"/>
  <c r="BK29" i="11" s="1"/>
  <c r="M29" i="11"/>
  <c r="F29" i="11"/>
  <c r="BM28" i="11"/>
  <c r="AZ28" i="11"/>
  <c r="AS28" i="11"/>
  <c r="BJ28" i="11" s="1"/>
  <c r="AH28" i="11"/>
  <c r="AC28" i="11"/>
  <c r="U28" i="11"/>
  <c r="M28" i="11"/>
  <c r="F28" i="11"/>
  <c r="BM27" i="11"/>
  <c r="AZ27" i="11"/>
  <c r="BJ27" i="11" s="1"/>
  <c r="AS27" i="11"/>
  <c r="AH27" i="11"/>
  <c r="AC27" i="11"/>
  <c r="U27" i="11"/>
  <c r="M27" i="11"/>
  <c r="AR27" i="11" s="1"/>
  <c r="BK27" i="11" s="1"/>
  <c r="F27" i="11"/>
  <c r="BM26" i="11"/>
  <c r="BJ26" i="11"/>
  <c r="AZ26" i="11"/>
  <c r="AS26" i="11"/>
  <c r="AH26" i="11"/>
  <c r="AC26" i="11"/>
  <c r="U26" i="11"/>
  <c r="M26" i="11"/>
  <c r="F26" i="11"/>
  <c r="AR26" i="11" s="1"/>
  <c r="BK26" i="11" s="1"/>
  <c r="BM25" i="11"/>
  <c r="AZ25" i="11"/>
  <c r="AS25" i="11"/>
  <c r="AH25" i="11"/>
  <c r="AC25" i="11"/>
  <c r="U25" i="11"/>
  <c r="M25" i="11"/>
  <c r="F25" i="11"/>
  <c r="BM24" i="11"/>
  <c r="BJ24" i="11"/>
  <c r="AZ24" i="11"/>
  <c r="AS24" i="11"/>
  <c r="AH24" i="11"/>
  <c r="AC24" i="11"/>
  <c r="U24" i="11"/>
  <c r="M24" i="11"/>
  <c r="F24" i="11"/>
  <c r="BM23" i="11"/>
  <c r="BJ23" i="11"/>
  <c r="AZ23" i="11"/>
  <c r="AS23" i="11"/>
  <c r="AH23" i="11"/>
  <c r="AC23" i="11"/>
  <c r="AR23" i="11" s="1"/>
  <c r="BK23" i="11" s="1"/>
  <c r="U23" i="11"/>
  <c r="M23" i="11"/>
  <c r="F23" i="11"/>
  <c r="BM22" i="11"/>
  <c r="AZ22" i="11"/>
  <c r="AS22" i="11"/>
  <c r="BJ22" i="11" s="1"/>
  <c r="AH22" i="11"/>
  <c r="AC22" i="11"/>
  <c r="U22" i="11"/>
  <c r="M22" i="11"/>
  <c r="F22" i="11"/>
  <c r="AR22" i="11" s="1"/>
  <c r="BK22" i="11" s="1"/>
  <c r="BM21" i="11"/>
  <c r="AZ21" i="11"/>
  <c r="BJ21" i="11" s="1"/>
  <c r="AS21" i="11"/>
  <c r="AH21" i="11"/>
  <c r="AC21" i="11"/>
  <c r="U21" i="11"/>
  <c r="M21" i="11"/>
  <c r="AR21" i="11" s="1"/>
  <c r="BK21" i="11" s="1"/>
  <c r="F21" i="11"/>
  <c r="BM20" i="11"/>
  <c r="BJ20" i="11"/>
  <c r="AZ20" i="11"/>
  <c r="AS20" i="11"/>
  <c r="AR20" i="11"/>
  <c r="BK20" i="11" s="1"/>
  <c r="AH20" i="11"/>
  <c r="AC20" i="11"/>
  <c r="U20" i="11"/>
  <c r="M20" i="11"/>
  <c r="F20" i="11"/>
  <c r="BM19" i="11"/>
  <c r="AZ19" i="11"/>
  <c r="AS19" i="11"/>
  <c r="AH19" i="11"/>
  <c r="AC19" i="11"/>
  <c r="U19" i="11"/>
  <c r="M19" i="11"/>
  <c r="F19" i="11"/>
  <c r="AR19" i="11" s="1"/>
  <c r="BM18" i="11"/>
  <c r="BJ18" i="11"/>
  <c r="AZ18" i="11"/>
  <c r="AS18" i="11"/>
  <c r="AH18" i="11"/>
  <c r="AC18" i="11"/>
  <c r="U18" i="11"/>
  <c r="M18" i="11"/>
  <c r="AR18" i="11" s="1"/>
  <c r="BK18" i="11" s="1"/>
  <c r="F18" i="11"/>
  <c r="BM17" i="11"/>
  <c r="BJ17" i="11"/>
  <c r="AZ17" i="11"/>
  <c r="AS17" i="11"/>
  <c r="AH17" i="11"/>
  <c r="AC17" i="11"/>
  <c r="U17" i="11"/>
  <c r="AR17" i="11" s="1"/>
  <c r="BK17" i="11" s="1"/>
  <c r="M17" i="11"/>
  <c r="F17" i="11"/>
  <c r="BM16" i="11"/>
  <c r="AZ16" i="11"/>
  <c r="AS16" i="11"/>
  <c r="BJ16" i="11" s="1"/>
  <c r="AH16" i="11"/>
  <c r="AC16" i="11"/>
  <c r="U16" i="11"/>
  <c r="M16" i="11"/>
  <c r="F16" i="11"/>
  <c r="BM15" i="11"/>
  <c r="AZ15" i="11"/>
  <c r="BJ15" i="11" s="1"/>
  <c r="AS15" i="11"/>
  <c r="AH15" i="11"/>
  <c r="AC15" i="11"/>
  <c r="U15" i="11"/>
  <c r="M15" i="11"/>
  <c r="AR15" i="11" s="1"/>
  <c r="BK15" i="11" s="1"/>
  <c r="F15" i="11"/>
  <c r="BM14" i="11"/>
  <c r="AZ14" i="11"/>
  <c r="AS14" i="11"/>
  <c r="BJ14" i="11" s="1"/>
  <c r="AH14" i="11"/>
  <c r="AC14" i="11"/>
  <c r="U14" i="11"/>
  <c r="M14" i="11"/>
  <c r="F14" i="11"/>
  <c r="AR14" i="11" s="1"/>
  <c r="BK14" i="11" s="1"/>
  <c r="BM13" i="11"/>
  <c r="AZ13" i="11"/>
  <c r="AS13" i="11"/>
  <c r="BJ13" i="11" s="1"/>
  <c r="AH13" i="11"/>
  <c r="AC13" i="11"/>
  <c r="U13" i="11"/>
  <c r="M13" i="11"/>
  <c r="F13" i="11"/>
  <c r="AR13" i="11" s="1"/>
  <c r="BM12" i="11"/>
  <c r="AZ12" i="11"/>
  <c r="BJ12" i="11" s="1"/>
  <c r="AS12" i="11"/>
  <c r="AR12" i="11"/>
  <c r="BK12" i="11" s="1"/>
  <c r="AH12" i="11"/>
  <c r="AC12" i="11"/>
  <c r="U12" i="11"/>
  <c r="M12" i="11"/>
  <c r="F12" i="11"/>
  <c r="BP11" i="11"/>
  <c r="BQ11" i="11" s="1"/>
  <c r="BM11" i="11"/>
  <c r="BJ11" i="11"/>
  <c r="AZ11" i="11"/>
  <c r="AS11" i="11"/>
  <c r="AR11" i="11"/>
  <c r="BK11" i="11" s="1"/>
  <c r="AH11" i="11"/>
  <c r="AC11" i="11"/>
  <c r="U11" i="11"/>
  <c r="M11" i="11"/>
  <c r="F11" i="11"/>
  <c r="D11" i="11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A11" i="11"/>
  <c r="A12" i="11" s="1"/>
  <c r="BM10" i="11"/>
  <c r="BN10" i="11" s="1"/>
  <c r="AZ10" i="11"/>
  <c r="AS10" i="11"/>
  <c r="AH10" i="11"/>
  <c r="AH160" i="11" s="1"/>
  <c r="AC10" i="11"/>
  <c r="U10" i="11"/>
  <c r="M10" i="11"/>
  <c r="F10" i="11"/>
  <c r="F160" i="11" s="1"/>
  <c r="D10" i="11"/>
  <c r="BK13" i="11" l="1"/>
  <c r="A13" i="11"/>
  <c r="BP12" i="11"/>
  <c r="BQ12" i="11" s="1"/>
  <c r="AI161" i="11"/>
  <c r="AR10" i="11"/>
  <c r="BJ19" i="11"/>
  <c r="BK19" i="11" s="1"/>
  <c r="BJ31" i="11"/>
  <c r="BK31" i="11" s="1"/>
  <c r="BJ37" i="11"/>
  <c r="AR40" i="11"/>
  <c r="BK40" i="11" s="1"/>
  <c r="BJ43" i="11"/>
  <c r="BK43" i="11" s="1"/>
  <c r="AR46" i="11"/>
  <c r="BK46" i="11" s="1"/>
  <c r="BJ49" i="11"/>
  <c r="AR52" i="11"/>
  <c r="BK52" i="11" s="1"/>
  <c r="BJ55" i="11"/>
  <c r="BK55" i="11" s="1"/>
  <c r="AR58" i="11"/>
  <c r="BK58" i="11" s="1"/>
  <c r="BK30" i="11"/>
  <c r="BK37" i="11"/>
  <c r="BK79" i="11"/>
  <c r="D12" i="1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D54" i="11" s="1"/>
  <c r="D55" i="11" s="1"/>
  <c r="D56" i="11" s="1"/>
  <c r="D57" i="11" s="1"/>
  <c r="D58" i="11" s="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D73" i="11" s="1"/>
  <c r="D74" i="11" s="1"/>
  <c r="D75" i="11" s="1"/>
  <c r="D76" i="11" s="1"/>
  <c r="D77" i="11" s="1"/>
  <c r="D78" i="11" s="1"/>
  <c r="D79" i="11" s="1"/>
  <c r="D80" i="11" s="1"/>
  <c r="D81" i="11" s="1"/>
  <c r="D82" i="11" s="1"/>
  <c r="D83" i="11" s="1"/>
  <c r="D84" i="11" s="1"/>
  <c r="D85" i="11" s="1"/>
  <c r="D86" i="11" s="1"/>
  <c r="D87" i="11" s="1"/>
  <c r="D88" i="11" s="1"/>
  <c r="D89" i="11" s="1"/>
  <c r="D90" i="11" s="1"/>
  <c r="D91" i="11" s="1"/>
  <c r="D92" i="11" s="1"/>
  <c r="D93" i="11" s="1"/>
  <c r="D94" i="11" s="1"/>
  <c r="D95" i="11" s="1"/>
  <c r="D96" i="11" s="1"/>
  <c r="D97" i="11" s="1"/>
  <c r="D98" i="11" s="1"/>
  <c r="D99" i="11" s="1"/>
  <c r="D100" i="11" s="1"/>
  <c r="D101" i="11" s="1"/>
  <c r="D102" i="11" s="1"/>
  <c r="D103" i="11" s="1"/>
  <c r="D104" i="11" s="1"/>
  <c r="D105" i="11" s="1"/>
  <c r="D106" i="11" s="1"/>
  <c r="D107" i="11" s="1"/>
  <c r="D108" i="11" s="1"/>
  <c r="D109" i="11" s="1"/>
  <c r="D110" i="11" s="1"/>
  <c r="D111" i="11" s="1"/>
  <c r="D112" i="11" s="1"/>
  <c r="D113" i="11" s="1"/>
  <c r="D114" i="11" s="1"/>
  <c r="D115" i="11" s="1"/>
  <c r="D116" i="11" s="1"/>
  <c r="D117" i="11" s="1"/>
  <c r="D118" i="11" s="1"/>
  <c r="D119" i="11" s="1"/>
  <c r="D120" i="11" s="1"/>
  <c r="D121" i="11" s="1"/>
  <c r="D122" i="11" s="1"/>
  <c r="D123" i="11" s="1"/>
  <c r="D124" i="11" s="1"/>
  <c r="D125" i="11" s="1"/>
  <c r="D126" i="11" s="1"/>
  <c r="D127" i="11" s="1"/>
  <c r="D128" i="11" s="1"/>
  <c r="D129" i="11" s="1"/>
  <c r="D130" i="11" s="1"/>
  <c r="D131" i="11" s="1"/>
  <c r="D132" i="11" s="1"/>
  <c r="D133" i="11" s="1"/>
  <c r="D134" i="11" s="1"/>
  <c r="D135" i="11" s="1"/>
  <c r="D136" i="11" s="1"/>
  <c r="D137" i="11" s="1"/>
  <c r="D138" i="11" s="1"/>
  <c r="D139" i="11" s="1"/>
  <c r="D140" i="11" s="1"/>
  <c r="D141" i="11" s="1"/>
  <c r="D142" i="11" s="1"/>
  <c r="D143" i="11" s="1"/>
  <c r="D144" i="11" s="1"/>
  <c r="D145" i="11" s="1"/>
  <c r="D146" i="11" s="1"/>
  <c r="D147" i="11" s="1"/>
  <c r="D148" i="11" s="1"/>
  <c r="D149" i="11" s="1"/>
  <c r="D150" i="11" s="1"/>
  <c r="D151" i="11" s="1"/>
  <c r="D152" i="11" s="1"/>
  <c r="D153" i="11" s="1"/>
  <c r="D154" i="11" s="1"/>
  <c r="D155" i="11" s="1"/>
  <c r="D156" i="11" s="1"/>
  <c r="D157" i="11" s="1"/>
  <c r="D158" i="11" s="1"/>
  <c r="D159" i="11" s="1"/>
  <c r="M160" i="11"/>
  <c r="AR28" i="11"/>
  <c r="BK28" i="11" s="1"/>
  <c r="AS160" i="11"/>
  <c r="BP10" i="11"/>
  <c r="BJ10" i="11"/>
  <c r="BK49" i="11"/>
  <c r="AZ160" i="11"/>
  <c r="AR16" i="11"/>
  <c r="BK16" i="11" s="1"/>
  <c r="BJ25" i="11"/>
  <c r="BK65" i="11"/>
  <c r="AC160" i="11"/>
  <c r="AR24" i="11"/>
  <c r="BK24" i="11" s="1"/>
  <c r="AR25" i="11"/>
  <c r="AR36" i="11"/>
  <c r="BK36" i="11" s="1"/>
  <c r="AR42" i="11"/>
  <c r="BK42" i="11" s="1"/>
  <c r="AR48" i="11"/>
  <c r="BK48" i="11" s="1"/>
  <c r="AR54" i="11"/>
  <c r="BK54" i="11" s="1"/>
  <c r="AR60" i="11"/>
  <c r="BK60" i="11" s="1"/>
  <c r="AR63" i="11"/>
  <c r="BK63" i="11" s="1"/>
  <c r="AR67" i="11"/>
  <c r="BK67" i="11" s="1"/>
  <c r="AR71" i="11"/>
  <c r="BK71" i="11" s="1"/>
  <c r="BK93" i="11"/>
  <c r="BK95" i="11"/>
  <c r="BK98" i="11"/>
  <c r="BK80" i="11"/>
  <c r="BK86" i="11"/>
  <c r="AR108" i="11"/>
  <c r="BK108" i="11" s="1"/>
  <c r="U160" i="11"/>
  <c r="BJ64" i="11"/>
  <c r="AR73" i="11"/>
  <c r="BK73" i="11" s="1"/>
  <c r="AR77" i="11"/>
  <c r="BK77" i="11" s="1"/>
  <c r="AR83" i="11"/>
  <c r="BK83" i="11" s="1"/>
  <c r="BK89" i="11"/>
  <c r="AR99" i="11"/>
  <c r="BK99" i="11" s="1"/>
  <c r="BK114" i="11"/>
  <c r="AR64" i="11"/>
  <c r="BK64" i="11" s="1"/>
  <c r="BJ70" i="11"/>
  <c r="BK70" i="11" s="1"/>
  <c r="BJ79" i="11"/>
  <c r="BJ85" i="11"/>
  <c r="BK85" i="11" s="1"/>
  <c r="BK88" i="11"/>
  <c r="BJ88" i="11"/>
  <c r="AR97" i="11"/>
  <c r="BK97" i="11" s="1"/>
  <c r="AR106" i="11"/>
  <c r="BK106" i="11" s="1"/>
  <c r="BJ112" i="11"/>
  <c r="BJ118" i="11"/>
  <c r="BK118" i="11" s="1"/>
  <c r="AR119" i="11"/>
  <c r="BK119" i="11" s="1"/>
  <c r="BJ94" i="11"/>
  <c r="BK94" i="11" s="1"/>
  <c r="BJ103" i="11"/>
  <c r="BJ109" i="11"/>
  <c r="BK109" i="11" s="1"/>
  <c r="AR112" i="11"/>
  <c r="BK112" i="11" s="1"/>
  <c r="AR103" i="11"/>
  <c r="BK103" i="11" s="1"/>
  <c r="AR113" i="11"/>
  <c r="BK113" i="11" s="1"/>
  <c r="BJ100" i="11"/>
  <c r="AR117" i="11"/>
  <c r="BK117" i="11" s="1"/>
  <c r="BK121" i="11"/>
  <c r="AR91" i="11"/>
  <c r="BK91" i="11" s="1"/>
  <c r="AR100" i="11"/>
  <c r="BK100" i="11" s="1"/>
  <c r="BJ115" i="11"/>
  <c r="BK115" i="11" s="1"/>
  <c r="AR125" i="11"/>
  <c r="BK125" i="11" s="1"/>
  <c r="BK135" i="11"/>
  <c r="BK139" i="11"/>
  <c r="BJ146" i="11"/>
  <c r="AR149" i="11"/>
  <c r="BK149" i="11" s="1"/>
  <c r="BK154" i="11"/>
  <c r="BK158" i="11"/>
  <c r="AR123" i="11"/>
  <c r="BK123" i="11" s="1"/>
  <c r="AR143" i="11"/>
  <c r="BK143" i="11" s="1"/>
  <c r="BK127" i="11"/>
  <c r="BK137" i="11"/>
  <c r="BK146" i="11"/>
  <c r="BK159" i="11"/>
  <c r="AR131" i="11"/>
  <c r="BK131" i="11" s="1"/>
  <c r="BK136" i="11"/>
  <c r="BK140" i="11"/>
  <c r="BK153" i="11"/>
  <c r="BK157" i="11"/>
  <c r="BK130" i="11"/>
  <c r="BK134" i="11"/>
  <c r="AK161" i="11" l="1"/>
  <c r="A14" i="11"/>
  <c r="BP13" i="11"/>
  <c r="BQ13" i="11" s="1"/>
  <c r="K161" i="11"/>
  <c r="X161" i="11"/>
  <c r="BH161" i="11"/>
  <c r="AQ161" i="11"/>
  <c r="N161" i="11"/>
  <c r="BD161" i="11"/>
  <c r="AM161" i="11"/>
  <c r="AB161" i="11"/>
  <c r="R161" i="11"/>
  <c r="V161" i="11"/>
  <c r="AU161" i="11"/>
  <c r="W161" i="11"/>
  <c r="AD161" i="11"/>
  <c r="AC161" i="11" s="1"/>
  <c r="G161" i="11"/>
  <c r="AW161" i="11"/>
  <c r="T161" i="11"/>
  <c r="AY161" i="11"/>
  <c r="AN161" i="11"/>
  <c r="AX161" i="11"/>
  <c r="AG161" i="11"/>
  <c r="BK25" i="11"/>
  <c r="BL69" i="11" s="1"/>
  <c r="BJ160" i="11"/>
  <c r="BL31" i="11"/>
  <c r="BL85" i="11"/>
  <c r="E161" i="11"/>
  <c r="BL95" i="11"/>
  <c r="Q161" i="11"/>
  <c r="BG161" i="11"/>
  <c r="AJ161" i="11"/>
  <c r="AH161" i="11" s="1"/>
  <c r="S161" i="11"/>
  <c r="BC161" i="11"/>
  <c r="Z161" i="11"/>
  <c r="I161" i="11"/>
  <c r="BE161" i="11"/>
  <c r="AT161" i="11"/>
  <c r="AR160" i="11"/>
  <c r="BK10" i="11"/>
  <c r="BL70" i="11" s="1"/>
  <c r="BL62" i="11"/>
  <c r="BL14" i="11"/>
  <c r="BL80" i="11"/>
  <c r="AO161" i="11"/>
  <c r="BA161" i="11"/>
  <c r="AP161" i="11"/>
  <c r="Y161" i="11"/>
  <c r="BI161" i="11"/>
  <c r="AF161" i="11"/>
  <c r="O161" i="11"/>
  <c r="J161" i="11"/>
  <c r="BF161" i="11"/>
  <c r="BB161" i="11"/>
  <c r="H161" i="11"/>
  <c r="BQ10" i="11"/>
  <c r="BL41" i="11"/>
  <c r="BL54" i="11"/>
  <c r="BL20" i="11"/>
  <c r="BL73" i="11"/>
  <c r="BL78" i="11"/>
  <c r="BL103" i="11"/>
  <c r="BL118" i="11"/>
  <c r="L161" i="11"/>
  <c r="AV161" i="11"/>
  <c r="BL145" i="11"/>
  <c r="AE161" i="11"/>
  <c r="AL161" i="11"/>
  <c r="AA161" i="11"/>
  <c r="P161" i="11"/>
  <c r="BL77" i="11" l="1"/>
  <c r="BL61" i="11"/>
  <c r="BL142" i="11"/>
  <c r="BL119" i="11"/>
  <c r="BL111" i="11"/>
  <c r="BL55" i="11"/>
  <c r="BL46" i="11"/>
  <c r="BL158" i="11"/>
  <c r="BL126" i="11"/>
  <c r="BL117" i="11"/>
  <c r="BL56" i="11"/>
  <c r="BL124" i="11"/>
  <c r="BL101" i="11"/>
  <c r="BL97" i="11"/>
  <c r="BL37" i="11"/>
  <c r="BL52" i="11"/>
  <c r="BL133" i="11"/>
  <c r="BL66" i="11"/>
  <c r="BL42" i="11"/>
  <c r="BL36" i="11"/>
  <c r="BL151" i="11"/>
  <c r="BL144" i="11"/>
  <c r="BL87" i="11"/>
  <c r="BL51" i="11"/>
  <c r="BL27" i="11"/>
  <c r="BL157" i="11"/>
  <c r="BL91" i="11"/>
  <c r="A15" i="11"/>
  <c r="BP14" i="11"/>
  <c r="AZ161" i="11"/>
  <c r="BL104" i="11"/>
  <c r="BL122" i="11"/>
  <c r="BL139" i="11"/>
  <c r="BL72" i="11"/>
  <c r="BL48" i="11"/>
  <c r="BK160" i="11"/>
  <c r="BL28" i="11"/>
  <c r="BL16" i="11"/>
  <c r="BL12" i="11"/>
  <c r="BL11" i="11"/>
  <c r="BL10" i="11"/>
  <c r="BL30" i="11"/>
  <c r="BL18" i="11"/>
  <c r="BO10" i="11"/>
  <c r="BL13" i="11"/>
  <c r="BL34" i="11"/>
  <c r="BL24" i="11"/>
  <c r="BL15" i="11"/>
  <c r="BL114" i="11"/>
  <c r="BL75" i="11"/>
  <c r="BL84" i="11"/>
  <c r="BL26" i="11"/>
  <c r="BL67" i="11"/>
  <c r="BL106" i="11"/>
  <c r="BL143" i="11"/>
  <c r="BL88" i="11"/>
  <c r="BL39" i="11"/>
  <c r="BL49" i="11"/>
  <c r="BL113" i="11"/>
  <c r="BL92" i="11"/>
  <c r="BL105" i="11"/>
  <c r="BL76" i="11"/>
  <c r="BL132" i="11"/>
  <c r="BL65" i="11"/>
  <c r="BL47" i="11"/>
  <c r="BL110" i="11"/>
  <c r="BL83" i="11"/>
  <c r="BL60" i="11"/>
  <c r="BL59" i="11"/>
  <c r="BL140" i="11"/>
  <c r="BL90" i="11"/>
  <c r="BL38" i="11"/>
  <c r="U161" i="11"/>
  <c r="BL153" i="11"/>
  <c r="BL125" i="11"/>
  <c r="BL115" i="11"/>
  <c r="BL82" i="11"/>
  <c r="BL136" i="11"/>
  <c r="BL123" i="11"/>
  <c r="BL108" i="11"/>
  <c r="BL86" i="11"/>
  <c r="BL129" i="11"/>
  <c r="BL130" i="11"/>
  <c r="BL107" i="11"/>
  <c r="BL102" i="11"/>
  <c r="BL43" i="11"/>
  <c r="BL135" i="11"/>
  <c r="BL116" i="11"/>
  <c r="BL96" i="11"/>
  <c r="BL64" i="11"/>
  <c r="BL150" i="11"/>
  <c r="BL94" i="11"/>
  <c r="BL57" i="11"/>
  <c r="BL29" i="11"/>
  <c r="BL40" i="11"/>
  <c r="BL148" i="11"/>
  <c r="BL137" i="11"/>
  <c r="BL68" i="11"/>
  <c r="BL19" i="11"/>
  <c r="BL147" i="11"/>
  <c r="BL98" i="11"/>
  <c r="BL71" i="11"/>
  <c r="BL53" i="11"/>
  <c r="BL128" i="11"/>
  <c r="BL156" i="11"/>
  <c r="BL99" i="11"/>
  <c r="BL63" i="11"/>
  <c r="BL35" i="11"/>
  <c r="AS161" i="11"/>
  <c r="BJ161" i="11" s="1"/>
  <c r="BL146" i="11"/>
  <c r="BL109" i="11"/>
  <c r="BL44" i="11"/>
  <c r="BL22" i="11"/>
  <c r="BL58" i="11"/>
  <c r="F161" i="11"/>
  <c r="AR161" i="11" s="1"/>
  <c r="BK161" i="11" s="1"/>
  <c r="BL161" i="11" s="1"/>
  <c r="BL160" i="11" s="1"/>
  <c r="BL79" i="11"/>
  <c r="BL93" i="11"/>
  <c r="M161" i="11"/>
  <c r="BL138" i="11"/>
  <c r="BL81" i="11"/>
  <c r="BL45" i="11"/>
  <c r="BL17" i="11"/>
  <c r="BL141" i="11"/>
  <c r="BL155" i="11"/>
  <c r="BL100" i="11"/>
  <c r="BL152" i="11"/>
  <c r="BL120" i="11"/>
  <c r="BL112" i="11"/>
  <c r="BL50" i="11"/>
  <c r="BL21" i="11"/>
  <c r="BL154" i="11"/>
  <c r="BL74" i="11"/>
  <c r="BL25" i="11"/>
  <c r="BL159" i="11"/>
  <c r="BL127" i="11"/>
  <c r="BL149" i="11"/>
  <c r="BL121" i="11"/>
  <c r="BL23" i="11"/>
  <c r="BL134" i="11"/>
  <c r="BL131" i="11"/>
  <c r="BL89" i="11"/>
  <c r="BL32" i="11"/>
  <c r="BL33" i="11"/>
  <c r="BQ14" i="11" l="1"/>
  <c r="BP15" i="11"/>
  <c r="BQ15" i="11" s="1"/>
  <c r="A16" i="11"/>
  <c r="BN11" i="11"/>
  <c r="BO11" i="11" s="1"/>
  <c r="BO12" i="11" l="1"/>
  <c r="BN12" i="11"/>
  <c r="BP16" i="11"/>
  <c r="A17" i="11"/>
  <c r="BN13" i="11" l="1"/>
  <c r="BO13" i="11" s="1"/>
  <c r="A18" i="11"/>
  <c r="BP17" i="11"/>
  <c r="BQ17" i="11" s="1"/>
  <c r="BQ16" i="11"/>
  <c r="BO14" i="11" l="1"/>
  <c r="BN14" i="11"/>
  <c r="A19" i="11"/>
  <c r="BP18" i="11"/>
  <c r="BQ18" i="11" l="1"/>
  <c r="BN15" i="11"/>
  <c r="BO15" i="11" s="1"/>
  <c r="A20" i="11"/>
  <c r="BP19" i="11"/>
  <c r="BQ19" i="11" s="1"/>
  <c r="BN16" i="11" l="1"/>
  <c r="BO16" i="11" s="1"/>
  <c r="A21" i="11"/>
  <c r="BP20" i="11"/>
  <c r="BQ20" i="11" s="1"/>
  <c r="BN17" i="11" l="1"/>
  <c r="BO17" i="11" s="1"/>
  <c r="BP21" i="11"/>
  <c r="BQ21" i="11" s="1"/>
  <c r="A22" i="11"/>
  <c r="BN18" i="11" l="1"/>
  <c r="BO18" i="11" s="1"/>
  <c r="BP22" i="11"/>
  <c r="BQ22" i="11" s="1"/>
  <c r="A23" i="11"/>
  <c r="BN19" i="11" l="1"/>
  <c r="BO19" i="11"/>
  <c r="A24" i="11"/>
  <c r="BP23" i="11"/>
  <c r="BQ23" i="11" s="1"/>
  <c r="A25" i="11" l="1"/>
  <c r="BP24" i="11"/>
  <c r="BQ24" i="11" s="1"/>
  <c r="BN20" i="11"/>
  <c r="BO20" i="11" s="1"/>
  <c r="BO21" i="11" l="1"/>
  <c r="BN21" i="11"/>
  <c r="A26" i="11"/>
  <c r="BP25" i="11"/>
  <c r="BQ25" i="11" s="1"/>
  <c r="BN22" i="11" l="1"/>
  <c r="BO22" i="11" s="1"/>
  <c r="A27" i="11"/>
  <c r="BP26" i="11"/>
  <c r="BQ26" i="11" s="1"/>
  <c r="BN23" i="11" l="1"/>
  <c r="BO23" i="11" s="1"/>
  <c r="BP27" i="11"/>
  <c r="BQ27" i="11" s="1"/>
  <c r="A28" i="11"/>
  <c r="BO24" i="11" l="1"/>
  <c r="BN24" i="11"/>
  <c r="BP28" i="11"/>
  <c r="BQ28" i="11" s="1"/>
  <c r="A29" i="11"/>
  <c r="BN25" i="11" l="1"/>
  <c r="BO25" i="11" s="1"/>
  <c r="A30" i="11"/>
  <c r="BP29" i="11"/>
  <c r="BQ29" i="11" s="1"/>
  <c r="BN26" i="11" l="1"/>
  <c r="BO26" i="11" s="1"/>
  <c r="A31" i="11"/>
  <c r="BP30" i="11"/>
  <c r="BQ30" i="11" s="1"/>
  <c r="BN27" i="11" l="1"/>
  <c r="BO27" i="11" s="1"/>
  <c r="A32" i="11"/>
  <c r="BP31" i="11"/>
  <c r="BQ31" i="11" s="1"/>
  <c r="BN28" i="11" l="1"/>
  <c r="BO28" i="11" s="1"/>
  <c r="A33" i="11"/>
  <c r="BP32" i="11"/>
  <c r="BQ32" i="11" s="1"/>
  <c r="BN29" i="11" l="1"/>
  <c r="BO29" i="11" s="1"/>
  <c r="BP33" i="11"/>
  <c r="BQ33" i="11" s="1"/>
  <c r="A34" i="11"/>
  <c r="BN30" i="11" l="1"/>
  <c r="BO30" i="11" s="1"/>
  <c r="BP34" i="11"/>
  <c r="BQ34" i="11" s="1"/>
  <c r="A35" i="11"/>
  <c r="BN31" i="11" l="1"/>
  <c r="BO31" i="11" s="1"/>
  <c r="A36" i="11"/>
  <c r="BP35" i="11"/>
  <c r="BQ35" i="11" s="1"/>
  <c r="BN32" i="11" l="1"/>
  <c r="BO32" i="11" s="1"/>
  <c r="A37" i="11"/>
  <c r="BP36" i="11"/>
  <c r="BQ36" i="11" s="1"/>
  <c r="BN33" i="11" l="1"/>
  <c r="BO33" i="11" s="1"/>
  <c r="A38" i="11"/>
  <c r="BP37" i="11"/>
  <c r="BQ37" i="11" s="1"/>
  <c r="BO34" i="11" l="1"/>
  <c r="BN34" i="11"/>
  <c r="A39" i="11"/>
  <c r="BP38" i="11"/>
  <c r="BQ38" i="11" s="1"/>
  <c r="A40" i="11" l="1"/>
  <c r="BP39" i="11"/>
  <c r="BQ39" i="11" s="1"/>
  <c r="BN35" i="11"/>
  <c r="BO35" i="11" s="1"/>
  <c r="BN36" i="11" l="1"/>
  <c r="BO36" i="11" s="1"/>
  <c r="BP40" i="11"/>
  <c r="BQ40" i="11" s="1"/>
  <c r="A41" i="11"/>
  <c r="BN37" i="11" l="1"/>
  <c r="BO37" i="11" s="1"/>
  <c r="BP41" i="11"/>
  <c r="BQ41" i="11" s="1"/>
  <c r="A42" i="11"/>
  <c r="BO38" i="11" l="1"/>
  <c r="BN38" i="11"/>
  <c r="A43" i="11"/>
  <c r="BP42" i="11"/>
  <c r="BQ42" i="11" s="1"/>
  <c r="BN39" i="11" l="1"/>
  <c r="BO39" i="11" s="1"/>
  <c r="A44" i="11"/>
  <c r="BP43" i="11"/>
  <c r="BQ43" i="11" s="1"/>
  <c r="BO40" i="11" l="1"/>
  <c r="BN40" i="11"/>
  <c r="A45" i="11"/>
  <c r="BP44" i="11"/>
  <c r="BQ44" i="11" s="1"/>
  <c r="A46" i="11" l="1"/>
  <c r="BP45" i="11"/>
  <c r="BQ45" i="11" s="1"/>
  <c r="BN41" i="11"/>
  <c r="BO41" i="11" s="1"/>
  <c r="BN42" i="11" l="1"/>
  <c r="BO42" i="11" s="1"/>
  <c r="BP46" i="11"/>
  <c r="BQ46" i="11" s="1"/>
  <c r="A47" i="11"/>
  <c r="BN43" i="11" l="1"/>
  <c r="BO43" i="11"/>
  <c r="BP47" i="11"/>
  <c r="BQ47" i="11" s="1"/>
  <c r="A48" i="11"/>
  <c r="A49" i="11" l="1"/>
  <c r="BP48" i="11"/>
  <c r="BQ48" i="11" s="1"/>
  <c r="BN44" i="11"/>
  <c r="BO44" i="11" s="1"/>
  <c r="BN45" i="11" l="1"/>
  <c r="BO45" i="11" s="1"/>
  <c r="A50" i="11"/>
  <c r="BP49" i="11"/>
  <c r="BQ49" i="11" s="1"/>
  <c r="BN46" i="11" l="1"/>
  <c r="BO46" i="11" s="1"/>
  <c r="A51" i="11"/>
  <c r="BP50" i="11"/>
  <c r="BQ50" i="11" s="1"/>
  <c r="BN47" i="11" l="1"/>
  <c r="BO47" i="11" s="1"/>
  <c r="A52" i="11"/>
  <c r="BP51" i="11"/>
  <c r="BQ51" i="11" s="1"/>
  <c r="BN48" i="11" l="1"/>
  <c r="BO48" i="11" s="1"/>
  <c r="BP52" i="11"/>
  <c r="BQ52" i="11" s="1"/>
  <c r="A53" i="11"/>
  <c r="BN49" i="11" l="1"/>
  <c r="BO49" i="11"/>
  <c r="BP53" i="11"/>
  <c r="BQ53" i="11" s="1"/>
  <c r="A54" i="11"/>
  <c r="A55" i="11" l="1"/>
  <c r="BP54" i="11"/>
  <c r="BQ54" i="11" s="1"/>
  <c r="BN50" i="11"/>
  <c r="BO50" i="11" s="1"/>
  <c r="BN51" i="11" l="1"/>
  <c r="BO51" i="11" s="1"/>
  <c r="A56" i="11"/>
  <c r="BP55" i="11"/>
  <c r="BQ55" i="11" s="1"/>
  <c r="BO52" i="11" l="1"/>
  <c r="BN52" i="11"/>
  <c r="A57" i="11"/>
  <c r="BP56" i="11"/>
  <c r="BQ56" i="11" s="1"/>
  <c r="A58" i="11" l="1"/>
  <c r="BP57" i="11"/>
  <c r="BQ57" i="11" s="1"/>
  <c r="BN53" i="11"/>
  <c r="BO53" i="11" s="1"/>
  <c r="BO54" i="11" l="1"/>
  <c r="BN54" i="11"/>
  <c r="BP58" i="11"/>
  <c r="BQ58" i="11" s="1"/>
  <c r="A59" i="11"/>
  <c r="BN55" i="11" l="1"/>
  <c r="BO55" i="11"/>
  <c r="BP59" i="11"/>
  <c r="BQ59" i="11" s="1"/>
  <c r="A60" i="11"/>
  <c r="BN56" i="11" l="1"/>
  <c r="BO56" i="11" s="1"/>
  <c r="BP60" i="11"/>
  <c r="BQ60" i="11" s="1"/>
  <c r="A61" i="11"/>
  <c r="BN57" i="11" l="1"/>
  <c r="BO57" i="11" s="1"/>
  <c r="BP61" i="11"/>
  <c r="BQ61" i="11" s="1"/>
  <c r="A62" i="11"/>
  <c r="BO58" i="11" l="1"/>
  <c r="BN58" i="11"/>
  <c r="A63" i="11"/>
  <c r="BP62" i="11"/>
  <c r="BQ62" i="11" s="1"/>
  <c r="BO59" i="11" l="1"/>
  <c r="BN59" i="11"/>
  <c r="A64" i="11"/>
  <c r="BP63" i="11"/>
  <c r="BQ63" i="11" s="1"/>
  <c r="BN60" i="11" l="1"/>
  <c r="BO60" i="11" s="1"/>
  <c r="BP64" i="11"/>
  <c r="BQ64" i="11" s="1"/>
  <c r="A65" i="11"/>
  <c r="BO61" i="11" l="1"/>
  <c r="BN61" i="11"/>
  <c r="A66" i="11"/>
  <c r="BP65" i="11"/>
  <c r="BQ65" i="11" s="1"/>
  <c r="A67" i="11" l="1"/>
  <c r="BP66" i="11"/>
  <c r="BQ66" i="11" s="1"/>
  <c r="BN62" i="11"/>
  <c r="BO62" i="11" s="1"/>
  <c r="BN63" i="11" l="1"/>
  <c r="BO63" i="11" s="1"/>
  <c r="BP67" i="11"/>
  <c r="BQ67" i="11" s="1"/>
  <c r="A68" i="11"/>
  <c r="BO64" i="11" l="1"/>
  <c r="BN64" i="11"/>
  <c r="A69" i="11"/>
  <c r="BP68" i="11"/>
  <c r="BQ68" i="11" s="1"/>
  <c r="BO65" i="11" l="1"/>
  <c r="BN65" i="11"/>
  <c r="A70" i="11"/>
  <c r="BP69" i="11"/>
  <c r="BQ69" i="11" s="1"/>
  <c r="BN66" i="11" l="1"/>
  <c r="BO66" i="11" s="1"/>
  <c r="BP70" i="11"/>
  <c r="BQ70" i="11" s="1"/>
  <c r="A71" i="11"/>
  <c r="BN67" i="11" l="1"/>
  <c r="BO67" i="11" s="1"/>
  <c r="A72" i="11"/>
  <c r="BP71" i="11"/>
  <c r="BQ71" i="11" s="1"/>
  <c r="BN68" i="11" l="1"/>
  <c r="BO68" i="11" s="1"/>
  <c r="A73" i="11"/>
  <c r="BP72" i="11"/>
  <c r="BQ72" i="11" s="1"/>
  <c r="BO69" i="11" l="1"/>
  <c r="BN69" i="11"/>
  <c r="BP73" i="11"/>
  <c r="BQ73" i="11" s="1"/>
  <c r="A74" i="11"/>
  <c r="BN70" i="11" l="1"/>
  <c r="BO70" i="11" s="1"/>
  <c r="A75" i="11"/>
  <c r="BP74" i="11"/>
  <c r="BQ74" i="11" s="1"/>
  <c r="BO71" i="11" l="1"/>
  <c r="BN71" i="11"/>
  <c r="A76" i="11"/>
  <c r="BP75" i="11"/>
  <c r="BQ75" i="11" s="1"/>
  <c r="BN72" i="11" l="1"/>
  <c r="BO72" i="11" s="1"/>
  <c r="BP76" i="11"/>
  <c r="BQ76" i="11" s="1"/>
  <c r="A77" i="11"/>
  <c r="BN73" i="11" l="1"/>
  <c r="BO73" i="11" s="1"/>
  <c r="BP77" i="11"/>
  <c r="BQ77" i="11" s="1"/>
  <c r="A78" i="11"/>
  <c r="BN74" i="11" l="1"/>
  <c r="BO74" i="11" s="1"/>
  <c r="A79" i="11"/>
  <c r="BP78" i="11"/>
  <c r="BQ78" i="11" s="1"/>
  <c r="BN75" i="11" l="1"/>
  <c r="BO75" i="11" s="1"/>
  <c r="A80" i="11"/>
  <c r="BP79" i="11"/>
  <c r="BQ79" i="11" s="1"/>
  <c r="BN76" i="11" l="1"/>
  <c r="BO76" i="11" s="1"/>
  <c r="A81" i="11"/>
  <c r="BP80" i="11"/>
  <c r="BQ80" i="11" s="1"/>
  <c r="BN77" i="11" l="1"/>
  <c r="BO77" i="11" s="1"/>
  <c r="A82" i="11"/>
  <c r="BP81" i="11"/>
  <c r="BQ81" i="11" s="1"/>
  <c r="BN78" i="11" l="1"/>
  <c r="BO78" i="11" s="1"/>
  <c r="BP82" i="11"/>
  <c r="BQ82" i="11" s="1"/>
  <c r="A83" i="11"/>
  <c r="BN79" i="11" l="1"/>
  <c r="BO79" i="11"/>
  <c r="BP83" i="11"/>
  <c r="BQ83" i="11" s="1"/>
  <c r="A84" i="11"/>
  <c r="A85" i="11" l="1"/>
  <c r="BP84" i="11"/>
  <c r="BQ84" i="11" s="1"/>
  <c r="BN80" i="11"/>
  <c r="BO80" i="11" s="1"/>
  <c r="BN81" i="11" l="1"/>
  <c r="BO81" i="11" s="1"/>
  <c r="A86" i="11"/>
  <c r="BP85" i="11"/>
  <c r="BQ85" i="11" s="1"/>
  <c r="BN82" i="11" l="1"/>
  <c r="BO82" i="11" s="1"/>
  <c r="A87" i="11"/>
  <c r="BP86" i="11"/>
  <c r="BQ86" i="11" s="1"/>
  <c r="BO83" i="11" l="1"/>
  <c r="BN83" i="11"/>
  <c r="A88" i="11"/>
  <c r="BP87" i="11"/>
  <c r="BQ87" i="11" s="1"/>
  <c r="BN84" i="11" l="1"/>
  <c r="BO84" i="11" s="1"/>
  <c r="BP88" i="11"/>
  <c r="BQ88" i="11" s="1"/>
  <c r="A89" i="11"/>
  <c r="BN85" i="11" l="1"/>
  <c r="BO85" i="11" s="1"/>
  <c r="A90" i="11"/>
  <c r="BP89" i="11"/>
  <c r="BQ89" i="11" s="1"/>
  <c r="BN86" i="11" l="1"/>
  <c r="BO86" i="11" s="1"/>
  <c r="A91" i="11"/>
  <c r="BP90" i="11"/>
  <c r="BQ90" i="11" s="1"/>
  <c r="BN87" i="11" l="1"/>
  <c r="BO87" i="11" s="1"/>
  <c r="A92" i="11"/>
  <c r="BP91" i="11"/>
  <c r="BQ91" i="11" s="1"/>
  <c r="BN88" i="11" l="1"/>
  <c r="BO88" i="11" s="1"/>
  <c r="A93" i="11"/>
  <c r="BP92" i="11"/>
  <c r="BQ92" i="11" s="1"/>
  <c r="BN89" i="11" l="1"/>
  <c r="BO89" i="11" s="1"/>
  <c r="A94" i="11"/>
  <c r="BP93" i="11"/>
  <c r="BQ93" i="11" s="1"/>
  <c r="BN90" i="11" l="1"/>
  <c r="BO90" i="11" s="1"/>
  <c r="BP94" i="11"/>
  <c r="BQ94" i="11" s="1"/>
  <c r="A95" i="11"/>
  <c r="BN91" i="11" l="1"/>
  <c r="BO91" i="11" s="1"/>
  <c r="A96" i="11"/>
  <c r="BP95" i="11"/>
  <c r="BQ95" i="11" s="1"/>
  <c r="BN92" i="11" l="1"/>
  <c r="BO92" i="11" s="1"/>
  <c r="A97" i="11"/>
  <c r="BP96" i="11"/>
  <c r="BQ96" i="11" s="1"/>
  <c r="BN93" i="11" l="1"/>
  <c r="BO93" i="11" s="1"/>
  <c r="BP97" i="11"/>
  <c r="BQ97" i="11" s="1"/>
  <c r="A98" i="11"/>
  <c r="BN94" i="11" l="1"/>
  <c r="BO94" i="11" s="1"/>
  <c r="A99" i="11"/>
  <c r="BP98" i="11"/>
  <c r="BQ98" i="11" s="1"/>
  <c r="BN95" i="11" l="1"/>
  <c r="BO95" i="11" s="1"/>
  <c r="A100" i="11"/>
  <c r="BP99" i="11"/>
  <c r="BQ99" i="11" s="1"/>
  <c r="BN96" i="11" l="1"/>
  <c r="BO96" i="11" s="1"/>
  <c r="BP100" i="11"/>
  <c r="BQ100" i="11" s="1"/>
  <c r="A101" i="11"/>
  <c r="BN97" i="11" l="1"/>
  <c r="BO97" i="11"/>
  <c r="A102" i="11"/>
  <c r="BP101" i="11"/>
  <c r="BQ101" i="11" s="1"/>
  <c r="A103" i="11" l="1"/>
  <c r="BP102" i="11"/>
  <c r="BQ102" i="11" s="1"/>
  <c r="BN98" i="11"/>
  <c r="BO98" i="11" s="1"/>
  <c r="BN99" i="11" l="1"/>
  <c r="BO99" i="11" s="1"/>
  <c r="BP103" i="11"/>
  <c r="BQ103" i="11" s="1"/>
  <c r="A104" i="11"/>
  <c r="BN100" i="11" l="1"/>
  <c r="BO100" i="11" s="1"/>
  <c r="A105" i="11"/>
  <c r="BP104" i="11"/>
  <c r="BQ104" i="11" s="1"/>
  <c r="BN101" i="11" l="1"/>
  <c r="BO101" i="11" s="1"/>
  <c r="A106" i="11"/>
  <c r="BP105" i="11"/>
  <c r="BQ105" i="11" s="1"/>
  <c r="BN102" i="11" l="1"/>
  <c r="BO102" i="11" s="1"/>
  <c r="BP106" i="11"/>
  <c r="BQ106" i="11" s="1"/>
  <c r="A107" i="11"/>
  <c r="BN103" i="11" l="1"/>
  <c r="BO103" i="11" s="1"/>
  <c r="A108" i="11"/>
  <c r="BP107" i="11"/>
  <c r="BQ107" i="11" s="1"/>
  <c r="BN104" i="11" l="1"/>
  <c r="BO104" i="11" s="1"/>
  <c r="A109" i="11"/>
  <c r="BP108" i="11"/>
  <c r="BQ108" i="11" s="1"/>
  <c r="BN105" i="11" l="1"/>
  <c r="BO105" i="11" s="1"/>
  <c r="BP109" i="11"/>
  <c r="BQ109" i="11" s="1"/>
  <c r="A110" i="11"/>
  <c r="BN106" i="11" l="1"/>
  <c r="BO106" i="11"/>
  <c r="BP110" i="11"/>
  <c r="BQ110" i="11" s="1"/>
  <c r="A111" i="11"/>
  <c r="BP111" i="11" l="1"/>
  <c r="BQ111" i="11" s="1"/>
  <c r="A112" i="11"/>
  <c r="BN107" i="11"/>
  <c r="BO107" i="11" s="1"/>
  <c r="BN108" i="11" l="1"/>
  <c r="BO108" i="11" s="1"/>
  <c r="BP112" i="11"/>
  <c r="BQ112" i="11" s="1"/>
  <c r="A113" i="11"/>
  <c r="BN109" i="11" l="1"/>
  <c r="BO109" i="11" s="1"/>
  <c r="A114" i="11"/>
  <c r="BP113" i="11"/>
  <c r="BQ113" i="11" s="1"/>
  <c r="BN110" i="11" l="1"/>
  <c r="BO110" i="11" s="1"/>
  <c r="A115" i="11"/>
  <c r="BP114" i="11"/>
  <c r="BQ114" i="11" s="1"/>
  <c r="BN111" i="11" l="1"/>
  <c r="BO111" i="11" s="1"/>
  <c r="BP115" i="11"/>
  <c r="BQ115" i="11" s="1"/>
  <c r="A116" i="11"/>
  <c r="BN112" i="11" l="1"/>
  <c r="BO112" i="11"/>
  <c r="BP116" i="11"/>
  <c r="BQ116" i="11" s="1"/>
  <c r="A117" i="11"/>
  <c r="A118" i="11" l="1"/>
  <c r="BP117" i="11"/>
  <c r="BQ117" i="11" s="1"/>
  <c r="BN113" i="11"/>
  <c r="BO113" i="11" s="1"/>
  <c r="BN114" i="11" l="1"/>
  <c r="BO114" i="11" s="1"/>
  <c r="A119" i="11"/>
  <c r="BP118" i="11"/>
  <c r="BQ118" i="11" s="1"/>
  <c r="BN115" i="11" l="1"/>
  <c r="BO115" i="11" s="1"/>
  <c r="A120" i="11"/>
  <c r="BP119" i="11"/>
  <c r="BQ119" i="11" s="1"/>
  <c r="BN116" i="11" l="1"/>
  <c r="BO116" i="11" s="1"/>
  <c r="BP120" i="11"/>
  <c r="BQ120" i="11" s="1"/>
  <c r="A121" i="11"/>
  <c r="BN117" i="11" l="1"/>
  <c r="BO117" i="11" s="1"/>
  <c r="A122" i="11"/>
  <c r="BP121" i="11"/>
  <c r="BQ121" i="11" s="1"/>
  <c r="BN118" i="11" l="1"/>
  <c r="BO118" i="11"/>
  <c r="A123" i="11"/>
  <c r="BP122" i="11"/>
  <c r="BQ122" i="11" s="1"/>
  <c r="A124" i="11" l="1"/>
  <c r="BP123" i="11"/>
  <c r="BQ123" i="11" s="1"/>
  <c r="BN119" i="11"/>
  <c r="BO119" i="11" s="1"/>
  <c r="BN120" i="11" l="1"/>
  <c r="BO120" i="11" s="1"/>
  <c r="A125" i="11"/>
  <c r="BP124" i="11"/>
  <c r="BQ124" i="11" s="1"/>
  <c r="BN121" i="11" l="1"/>
  <c r="BO121" i="11" s="1"/>
  <c r="BP125" i="11"/>
  <c r="BQ125" i="11" s="1"/>
  <c r="A126" i="11"/>
  <c r="BN122" i="11" l="1"/>
  <c r="BO122" i="11" s="1"/>
  <c r="BP126" i="11"/>
  <c r="BQ126" i="11" s="1"/>
  <c r="A127" i="11"/>
  <c r="BN123" i="11" l="1"/>
  <c r="BO123" i="11" s="1"/>
  <c r="A128" i="11"/>
  <c r="BP127" i="11"/>
  <c r="BQ127" i="11" s="1"/>
  <c r="BO124" i="11" l="1"/>
  <c r="BN124" i="11"/>
  <c r="A129" i="11"/>
  <c r="BP128" i="11"/>
  <c r="BQ128" i="11" s="1"/>
  <c r="BO125" i="11" l="1"/>
  <c r="BN125" i="11"/>
  <c r="A130" i="11"/>
  <c r="BP129" i="11"/>
  <c r="BQ129" i="11" s="1"/>
  <c r="BN126" i="11" l="1"/>
  <c r="BO126" i="11" s="1"/>
  <c r="A131" i="11"/>
  <c r="BP130" i="11"/>
  <c r="BQ130" i="11" s="1"/>
  <c r="BO127" i="11" l="1"/>
  <c r="BN127" i="11"/>
  <c r="BP131" i="11"/>
  <c r="BQ131" i="11" s="1"/>
  <c r="A132" i="11"/>
  <c r="BO128" i="11" l="1"/>
  <c r="BN128" i="11"/>
  <c r="BP132" i="11"/>
  <c r="BQ132" i="11" s="1"/>
  <c r="A133" i="11"/>
  <c r="BO129" i="11" l="1"/>
  <c r="BN129" i="11"/>
  <c r="A134" i="11"/>
  <c r="BP133" i="11"/>
  <c r="BQ133" i="11" s="1"/>
  <c r="BN130" i="11" l="1"/>
  <c r="BO130" i="11" s="1"/>
  <c r="A135" i="11"/>
  <c r="BP134" i="11"/>
  <c r="BQ134" i="11" s="1"/>
  <c r="BN131" i="11" l="1"/>
  <c r="BO131" i="11" s="1"/>
  <c r="A136" i="11"/>
  <c r="BP135" i="11"/>
  <c r="BQ135" i="11" s="1"/>
  <c r="BN132" i="11" l="1"/>
  <c r="BO132" i="11" s="1"/>
  <c r="A137" i="11"/>
  <c r="BP136" i="11"/>
  <c r="BQ136" i="11" s="1"/>
  <c r="BN133" i="11" l="1"/>
  <c r="BO133" i="11" s="1"/>
  <c r="BP137" i="11"/>
  <c r="BQ137" i="11" s="1"/>
  <c r="A138" i="11"/>
  <c r="BN134" i="11" l="1"/>
  <c r="BO134" i="11" s="1"/>
  <c r="BP138" i="11"/>
  <c r="BQ138" i="11" s="1"/>
  <c r="A139" i="11"/>
  <c r="BN135" i="11" l="1"/>
  <c r="BO135" i="11" s="1"/>
  <c r="A140" i="11"/>
  <c r="BP139" i="11"/>
  <c r="BQ139" i="11" s="1"/>
  <c r="BN136" i="11" l="1"/>
  <c r="BO136" i="11" s="1"/>
  <c r="A141" i="11"/>
  <c r="BP140" i="11"/>
  <c r="BQ140" i="11" s="1"/>
  <c r="BN137" i="11" l="1"/>
  <c r="BO137" i="11" s="1"/>
  <c r="A142" i="11"/>
  <c r="BP141" i="11"/>
  <c r="BQ141" i="11" s="1"/>
  <c r="BN138" i="11" l="1"/>
  <c r="BO138" i="11" s="1"/>
  <c r="A143" i="11"/>
  <c r="BP142" i="11"/>
  <c r="BQ142" i="11" s="1"/>
  <c r="BN139" i="11" l="1"/>
  <c r="BO139" i="11" s="1"/>
  <c r="BP143" i="11"/>
  <c r="BQ143" i="11" s="1"/>
  <c r="A144" i="11"/>
  <c r="BN140" i="11" l="1"/>
  <c r="BO140" i="11" s="1"/>
  <c r="BP144" i="11"/>
  <c r="BQ144" i="11" s="1"/>
  <c r="A145" i="11"/>
  <c r="BN141" i="11" l="1"/>
  <c r="BO141" i="11" s="1"/>
  <c r="A146" i="11"/>
  <c r="BP145" i="11"/>
  <c r="BQ145" i="11" s="1"/>
  <c r="BN142" i="11" l="1"/>
  <c r="BO142" i="11" s="1"/>
  <c r="A147" i="11"/>
  <c r="BP146" i="11"/>
  <c r="BQ146" i="11" s="1"/>
  <c r="BN143" i="11" l="1"/>
  <c r="BO143" i="11" s="1"/>
  <c r="A148" i="11"/>
  <c r="BP147" i="11"/>
  <c r="BQ147" i="11" s="1"/>
  <c r="BN144" i="11" l="1"/>
  <c r="BO144" i="11" s="1"/>
  <c r="A149" i="11"/>
  <c r="BP148" i="11"/>
  <c r="BQ148" i="11" s="1"/>
  <c r="BN145" i="11" l="1"/>
  <c r="BO145" i="11" s="1"/>
  <c r="BP149" i="11"/>
  <c r="BQ149" i="11" s="1"/>
  <c r="A150" i="11"/>
  <c r="BN146" i="11" l="1"/>
  <c r="BO146" i="11" s="1"/>
  <c r="BP150" i="11"/>
  <c r="BQ150" i="11" s="1"/>
  <c r="A151" i="11"/>
  <c r="BN147" i="11" l="1"/>
  <c r="BO147" i="11" s="1"/>
  <c r="A152" i="11"/>
  <c r="BP151" i="11"/>
  <c r="BQ151" i="11" s="1"/>
  <c r="BN148" i="11" l="1"/>
  <c r="BO148" i="11" s="1"/>
  <c r="A153" i="11"/>
  <c r="BP152" i="11"/>
  <c r="BQ152" i="11" s="1"/>
  <c r="BN149" i="11" l="1"/>
  <c r="BO149" i="11" s="1"/>
  <c r="A154" i="11"/>
  <c r="BP153" i="11"/>
  <c r="BQ153" i="11" s="1"/>
  <c r="BN150" i="11" l="1"/>
  <c r="BO150" i="11" s="1"/>
  <c r="A155" i="11"/>
  <c r="BP154" i="11"/>
  <c r="BQ154" i="11" s="1"/>
  <c r="BN151" i="11" l="1"/>
  <c r="BO151" i="11" s="1"/>
  <c r="BP155" i="11"/>
  <c r="BQ155" i="11" s="1"/>
  <c r="A156" i="11"/>
  <c r="BN152" i="11" l="1"/>
  <c r="BO152" i="11" s="1"/>
  <c r="BP156" i="11"/>
  <c r="BQ156" i="11" s="1"/>
  <c r="A157" i="11"/>
  <c r="BN153" i="11" l="1"/>
  <c r="BO153" i="11" s="1"/>
  <c r="A158" i="11"/>
  <c r="BP157" i="11"/>
  <c r="BQ157" i="11" s="1"/>
  <c r="BN154" i="11" l="1"/>
  <c r="BO154" i="11" s="1"/>
  <c r="A159" i="11"/>
  <c r="BP159" i="11" s="1"/>
  <c r="BP158" i="11"/>
  <c r="BQ158" i="11" s="1"/>
  <c r="BN155" i="11" l="1"/>
  <c r="BO155" i="11" s="1"/>
  <c r="BQ159" i="11"/>
  <c r="BQ160" i="11" s="1"/>
  <c r="E4" i="11" s="1"/>
  <c r="BP160" i="11"/>
  <c r="BN156" i="11" l="1"/>
  <c r="BO156" i="11" s="1"/>
  <c r="BN157" i="11" l="1"/>
  <c r="BO157" i="11" s="1"/>
  <c r="BN158" i="11" l="1"/>
  <c r="BO158" i="11" s="1"/>
  <c r="BN159" i="11" l="1"/>
  <c r="BO159" i="11" s="1"/>
  <c r="C27" i="8" l="1"/>
  <c r="F3" i="7" l="1"/>
  <c r="C9" i="9" l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8" i="9"/>
  <c r="C26" i="8"/>
  <c r="C25" i="8" s="1"/>
  <c r="C24" i="8" s="1"/>
  <c r="C23" i="8" s="1"/>
  <c r="C22" i="8" s="1"/>
  <c r="C21" i="8" s="1"/>
  <c r="C20" i="8" s="1"/>
  <c r="C19" i="8" s="1"/>
  <c r="C18" i="8" s="1"/>
  <c r="F20" i="7"/>
  <c r="F19" i="7"/>
  <c r="F7" i="7"/>
  <c r="F12" i="7" s="1"/>
  <c r="F13" i="7" s="1"/>
  <c r="D8" i="9" l="1"/>
  <c r="D9" i="9" s="1"/>
  <c r="F17" i="7"/>
  <c r="A15" i="8"/>
  <c r="A14" i="8"/>
  <c r="J17" i="8"/>
  <c r="I17" i="8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9" i="9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C7" i="9"/>
  <c r="G5" i="9"/>
  <c r="H28" i="8"/>
  <c r="G28" i="8"/>
  <c r="F28" i="8"/>
  <c r="A28" i="8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B11" i="8"/>
  <c r="D10" i="9" l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F27" i="8"/>
  <c r="H26" i="8" s="1"/>
  <c r="G27" i="8"/>
  <c r="I28" i="8" s="1"/>
  <c r="G17" i="8"/>
  <c r="H17" i="8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27" i="8"/>
  <c r="A26" i="8" s="1"/>
  <c r="A25" i="8" s="1"/>
  <c r="A24" i="8" s="1"/>
  <c r="A23" i="8" s="1"/>
  <c r="A22" i="8" s="1"/>
  <c r="A21" i="8" s="1"/>
  <c r="A20" i="8" s="1"/>
  <c r="A19" i="8" s="1"/>
  <c r="A18" i="8" s="1"/>
  <c r="H27" i="8"/>
  <c r="A10" i="8"/>
  <c r="A9" i="8"/>
  <c r="G26" i="8" l="1"/>
  <c r="I27" i="8" s="1"/>
  <c r="F26" i="8"/>
  <c r="H25" i="8"/>
  <c r="J26" i="8" s="1"/>
  <c r="G25" i="8"/>
  <c r="F25" i="8"/>
  <c r="J27" i="8"/>
  <c r="J28" i="8"/>
  <c r="I26" i="8" l="1"/>
  <c r="G24" i="8"/>
  <c r="I25" i="8" s="1"/>
  <c r="F24" i="8"/>
  <c r="H24" i="8"/>
  <c r="J25" i="8" s="1"/>
  <c r="F23" i="8" l="1"/>
  <c r="H23" i="8"/>
  <c r="G23" i="8"/>
  <c r="I24" i="8" s="1"/>
  <c r="H22" i="8" l="1"/>
  <c r="G22" i="8"/>
  <c r="F22" i="8"/>
  <c r="J24" i="8"/>
  <c r="H21" i="8" l="1"/>
  <c r="G21" i="8"/>
  <c r="F21" i="8"/>
  <c r="I23" i="8"/>
  <c r="J23" i="8"/>
  <c r="G20" i="8" l="1"/>
  <c r="I21" i="8" s="1"/>
  <c r="H20" i="8"/>
  <c r="J21" i="8" s="1"/>
  <c r="F20" i="8"/>
  <c r="F19" i="8" s="1"/>
  <c r="J22" i="8"/>
  <c r="I22" i="8"/>
  <c r="G19" i="8" l="1"/>
  <c r="I20" i="8" s="1"/>
  <c r="H19" i="8"/>
  <c r="J20" i="8" s="1"/>
  <c r="H18" i="8" l="1"/>
  <c r="J18" i="8" s="1"/>
  <c r="G18" i="8"/>
  <c r="I18" i="8" s="1"/>
  <c r="J19" i="8" l="1"/>
  <c r="B15" i="8" s="1"/>
  <c r="I19" i="8"/>
  <c r="B14" i="8" s="1"/>
  <c r="C23" i="10" l="1"/>
  <c r="D23" i="10" s="1"/>
  <c r="C34" i="10"/>
  <c r="D34" i="10" s="1"/>
  <c r="C19" i="10" l="1"/>
  <c r="D19" i="10" s="1"/>
  <c r="C21" i="10"/>
  <c r="D21" i="10" s="1"/>
  <c r="C11" i="10"/>
  <c r="D11" i="10" s="1"/>
  <c r="C30" i="10"/>
  <c r="D30" i="10" s="1"/>
  <c r="C32" i="10"/>
  <c r="D32" i="10" s="1"/>
  <c r="C40" i="10"/>
  <c r="D40" i="10" s="1"/>
  <c r="C39" i="10"/>
  <c r="D39" i="10" s="1"/>
  <c r="C37" i="10"/>
  <c r="D37" i="10" s="1"/>
  <c r="C15" i="10"/>
  <c r="D15" i="10" s="1"/>
  <c r="C35" i="10"/>
  <c r="D35" i="10" s="1"/>
  <c r="C20" i="10"/>
  <c r="D20" i="10" s="1"/>
  <c r="C10" i="10"/>
  <c r="D10" i="10" s="1"/>
  <c r="C31" i="10"/>
  <c r="D31" i="10" s="1"/>
  <c r="C38" i="10"/>
  <c r="D38" i="10" s="1"/>
  <c r="C28" i="10"/>
  <c r="D28" i="10" s="1"/>
  <c r="C13" i="10"/>
  <c r="D13" i="10" s="1"/>
  <c r="C14" i="10"/>
  <c r="D14" i="10" s="1"/>
  <c r="C36" i="10"/>
  <c r="D36" i="10" s="1"/>
  <c r="C16" i="10"/>
  <c r="D16" i="10" s="1"/>
  <c r="C44" i="10"/>
  <c r="D44" i="10" s="1"/>
  <c r="C18" i="10"/>
  <c r="D18" i="10" s="1"/>
  <c r="C22" i="10"/>
  <c r="D22" i="10" s="1"/>
  <c r="C24" i="10"/>
  <c r="D24" i="10" s="1"/>
  <c r="C42" i="10"/>
  <c r="D42" i="10" s="1"/>
  <c r="C12" i="10"/>
  <c r="D12" i="10" s="1"/>
  <c r="C33" i="10"/>
  <c r="D33" i="10" s="1"/>
  <c r="C27" i="10"/>
  <c r="D27" i="10" s="1"/>
  <c r="C26" i="10"/>
  <c r="D26" i="10" s="1"/>
  <c r="C43" i="10"/>
  <c r="D43" i="10" s="1"/>
  <c r="C25" i="10"/>
  <c r="D25" i="10" s="1"/>
  <c r="K8" i="9"/>
  <c r="C9" i="10" s="1"/>
  <c r="D9" i="10" s="1"/>
  <c r="C29" i="10"/>
  <c r="D29" i="10" s="1"/>
  <c r="C41" i="10"/>
  <c r="D41" i="10" s="1"/>
  <c r="C17" i="10" l="1"/>
  <c r="D17" i="10" s="1"/>
  <c r="E11" i="10" l="1"/>
  <c r="E12" i="10" l="1"/>
  <c r="E13" i="10" l="1"/>
  <c r="E14" i="10" l="1"/>
  <c r="E16" i="10" l="1"/>
  <c r="E17" i="10" l="1"/>
  <c r="E18" i="10" l="1"/>
  <c r="E19" i="10" l="1"/>
  <c r="E20" i="10" l="1"/>
  <c r="E21" i="10" l="1"/>
  <c r="E22" i="10" l="1"/>
  <c r="E23" i="10" l="1"/>
  <c r="E24" i="10" l="1"/>
  <c r="E25" i="10" l="1"/>
  <c r="E26" i="10" l="1"/>
  <c r="E27" i="10" l="1"/>
  <c r="E28" i="10" l="1"/>
  <c r="E29" i="10" l="1"/>
  <c r="E30" i="10" l="1"/>
  <c r="E31" i="10" l="1"/>
  <c r="E32" i="10" l="1"/>
  <c r="E33" i="10" l="1"/>
  <c r="E34" i="10" l="1"/>
  <c r="E35" i="10" l="1"/>
  <c r="E36" i="10" l="1"/>
  <c r="E37" i="10" l="1"/>
  <c r="E39" i="10" l="1"/>
  <c r="E40" i="10" l="1"/>
  <c r="E41" i="10" l="1"/>
  <c r="E42" i="10" l="1"/>
  <c r="E43" i="10" l="1"/>
  <c r="E44" i="10" l="1"/>
</calcChain>
</file>

<file path=xl/sharedStrings.xml><?xml version="1.0" encoding="utf-8"?>
<sst xmlns="http://schemas.openxmlformats.org/spreadsheetml/2006/main" count="147" uniqueCount="137">
  <si>
    <t>INFORMAÇÕES PRELIMINARES</t>
  </si>
  <si>
    <t>CONTRIBUIÇÕES FUTURAS DE APOSENTADOS  E PENSIONISTAS -  BENEFÍCIOS CONCEDIDOS</t>
  </si>
  <si>
    <t>CONTRIBUIÇÕES FUTURAS DO ENTE - BENEFÍCIOS A CONCEDER</t>
  </si>
  <si>
    <t>CONTRIBUIÇÕES FUTURAS DOS ATIVOS - BENEFÍCIOS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</si>
  <si>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</si>
  <si>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</si>
  <si>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</si>
  <si>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</si>
  <si>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</si>
  <si>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</si>
  <si>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</si>
  <si>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</si>
  <si>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</si>
  <si>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</si>
  <si>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</si>
  <si>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</si>
  <si>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 - Contribuições dos Aposentados</t>
  </si>
  <si>
    <t>Benefícios Concedidos - Contribuições Futuras dos Aposentados - Aposentadorias Programadas</t>
  </si>
  <si>
    <t>Benefícios Concedidos - Contribuições Futuras dos Aposentados - Aposentadorias Especiais de Professores</t>
  </si>
  <si>
    <t>Benefícios Concedidos - Contribuições Futuras dos Aposentados - Outras Aposentadorias Especiais</t>
  </si>
  <si>
    <t>Benefícios Concedidos - Contribuições Futuras dos Aposentados - Aposentadorias por Invalidez</t>
  </si>
  <si>
    <t>Benefícios Concedidos - Contribuições  dos Pensionistas</t>
  </si>
  <si>
    <t>Benefícios Concedidos - Compensação Previdenciária a Receber</t>
  </si>
  <si>
    <t>Benefícios a Conceder - Contribuições do Ente</t>
  </si>
  <si>
    <t>Benefícios a Conceder - Contribuições Futuras do Ente  - Aposentadorias Programadas</t>
  </si>
  <si>
    <t>Benefícios a Conceder - Contribuições Futuras do Ente  - Aposentadorias Especiais de Professores</t>
  </si>
  <si>
    <t>Benefícios a Conceder - Contribuições Futuras do Ente  - Outras Aposentadorias Especiais</t>
  </si>
  <si>
    <t>Benefícios a Conceder - Contribuições Futuras do Ente  - Aposentadorias por Invalidez</t>
  </si>
  <si>
    <t>Benefícios a Conceder - Contribuições Futuras do Ente  - Pensões Por Morte de Servidores em Atividade</t>
  </si>
  <si>
    <t>Benefícios a Conceder - Contribuições Futuras do Ente  - Pensões Por Morte de Aposentados</t>
  </si>
  <si>
    <t>Benefícios a Conceder - Contribuições Futuras do Ente  -  Outros Benefícios e Auxílios</t>
  </si>
  <si>
    <t>Benefícios a Conceder - Contribuições dos Segurados Ativos</t>
  </si>
  <si>
    <t>Benefícios a Conceder - Contribuições Futuras dos Segurados Ativos - Aposentadorias Programadas</t>
  </si>
  <si>
    <t>Benefícios a Conceder - Contribuições Futuras dos Segurados Ativos - Aposentadorias Especiais de Professores</t>
  </si>
  <si>
    <t>Benefícios a Conceder - Contribuições Futuras dos Segurados Ativos - Outras Aposentadorias Especiais</t>
  </si>
  <si>
    <t>Benefícios a Conceder - Contribuições Futuras dos Segurados Ativos - Aposentadorias por Invalidez</t>
  </si>
  <si>
    <t>Benefícios a Conceder - Contribuições Futuras dos Segurados Ativos  - Pensões Por Morte de Segurados em Atividade</t>
  </si>
  <si>
    <t>Benefícios a Conceder - Contribuições Futuras dos Segurados Ativos - Pensões Por Morte de Aposentados</t>
  </si>
  <si>
    <t>Benefícios a Conceder - Contribuições Futuras dos Segurados Ativos  -  Outros Benefícios e Auxílios</t>
  </si>
  <si>
    <t>Benefícios a Conceder - Contribuições dos Aposentados</t>
  </si>
  <si>
    <t>Benefícios a Conceder - Contribuições Futuras dos Aposentados  - Aposentadorias Programadas</t>
  </si>
  <si>
    <t>Benefícios a Conceder - Contribuições Futuras dos Aposentados  - Aposentadorias Especiais de Professores</t>
  </si>
  <si>
    <t>Benefícios a Conceder - Contribuições Futuras dos Aposentados  - Outras Aposentadorias Especiais</t>
  </si>
  <si>
    <t>Benefícios a Conceder - Contribuições Futuras dos Aposentados  - Aposentadorias por Invalidez</t>
  </si>
  <si>
    <t>Benefícios a Conceder - Contribuições dos Pensionistas</t>
  </si>
  <si>
    <t>Benefícios a Conceder - Contribuições Futuras dos Pensionistas - Aposentadorias Programadas</t>
  </si>
  <si>
    <t>Benefícios a Conceder - Contribuições Futuras dos Pensionistas - Aposentadorias Especiais de Professores</t>
  </si>
  <si>
    <t>Benefícios a Conceder - Contribuições Futuras dos Pensionistas - Outras Aposentadorias Especiais</t>
  </si>
  <si>
    <t>Benefícios a Conceder - Contribuições Futuras dos Pensionistas - Aposentadorias por Invalidez</t>
  </si>
  <si>
    <t>Benefícios a Conceder - Contribuições Futuras dos Pensionistas - Pensões Por Morte de Segurados em Atividade</t>
  </si>
  <si>
    <t>Benefícios a Conceder - Compensação Previdenciária a Receber</t>
  </si>
  <si>
    <t>Plano de Amortização do Déficit Atuarial estabelecido em lei</t>
  </si>
  <si>
    <t>Parcelamentos de Débitos Previdenciários</t>
  </si>
  <si>
    <t>Valor Atual da Cobertura da Insuficiência Financeira (Outras Receitas)</t>
  </si>
  <si>
    <t>(A) TOTAL DAS RECEITAS COM CONTRIBUIÇÕES E COMPENSAÇÃO PREVIDENCIÁRIA</t>
  </si>
  <si>
    <t>Benefícios Concedidos -  Encargos</t>
  </si>
  <si>
    <t>Benefícios Concedidos - Encargos - Aposentadorias Programadas</t>
  </si>
  <si>
    <t>Benefícios Concedidos - Encargos - Aposentadorias Especiais de Professores</t>
  </si>
  <si>
    <t>Benefícios Concedidos - Encargos - Outras Aposentadorias Especiais</t>
  </si>
  <si>
    <t>Benefícios Concedidos - Encargos - Aposentadorias por Invalidez</t>
  </si>
  <si>
    <t>Benefícios Concedidos - Encargos - Pensões Por Morte</t>
  </si>
  <si>
    <t>Benefícios Concedidos - Encargos - Compensação Previdenciária a Pagar</t>
  </si>
  <si>
    <t>Benefícios a Conceder - Encargos</t>
  </si>
  <si>
    <t>Benefícios a Conceder - Encargos -  Aposentadorias Programadas</t>
  </si>
  <si>
    <t>Benefícios a Conceder - Encargos -  Aposentadorias Especiais de Professores</t>
  </si>
  <si>
    <t>Benefícios a Conceder - Encargos -  Outras Aposentadorias Especiais</t>
  </si>
  <si>
    <t>Benefícios a Conceder - Encargos -  Aposentadorias por Invalidez</t>
  </si>
  <si>
    <t>Benefícios a Conceder - Encargos -  Pensões Por Morte de Servidores em Atividade</t>
  </si>
  <si>
    <t>Benefícios a Conceder - Encargos -  Pensões Por Morte de Aposentados</t>
  </si>
  <si>
    <t>Benefícios a Conceder - Encargos -  Outros Benefícios e Auxílios</t>
  </si>
  <si>
    <t>Benefícios a Conceder - Encargos -  Compensação Previdenciária a Pagar</t>
  </si>
  <si>
    <t>Outras Despesas</t>
  </si>
  <si>
    <t>(B) TOTAL  DAS DESPESAS COM BENEFÍCIOS DO PLANO</t>
  </si>
  <si>
    <t>(C) INSUFICIÊNCIA OU EXCEDENTE FINANCEIRO (A-B)</t>
  </si>
  <si>
    <t>(D) SALDO ACUMULADO DO EXERCÍCIO  A VALOR ATUAL</t>
  </si>
  <si>
    <t>(E) RENTABILIDADE ESPERADA (%)</t>
  </si>
  <si>
    <t>Totais de Controle:</t>
  </si>
  <si>
    <t>Totais de Controle  a Valor Atual:</t>
  </si>
  <si>
    <t>Duração do Passivo</t>
  </si>
  <si>
    <t>( H ) BENEFÍCIOS LÍQUIDOS A VALOR PRESENTE</t>
  </si>
  <si>
    <t>( I ) BENEFÍCIOS LÍQUIDOS PONDERADOS PELO INSTANTE</t>
  </si>
  <si>
    <t>CÁLCULO DURATION</t>
  </si>
  <si>
    <t>Taxa de Juros da avaliação atuarial do exercício anterior:</t>
  </si>
  <si>
    <t>DESPESA COM PESSOAL</t>
  </si>
  <si>
    <t>DESPESAS EXECUTADAS</t>
  </si>
  <si>
    <t>(Últimos 12 Meses)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</si>
  <si>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</si>
  <si>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</si>
  <si>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</si>
  <si>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</si>
  <si>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</si>
  <si>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</si>
  <si>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</si>
  <si>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</si>
  <si>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</si>
  <si>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</si>
  <si>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</si>
  <si>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</si>
  <si>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VALOR</t>
  </si>
  <si>
    <t>RECEITA CORRENTE LÍQUIDA - RCL (V)</t>
  </si>
  <si>
    <t>% do DESPESA TOTAL COM PESSOAL - DTP sobre a RCL (VI) = (IV/V)*100</t>
  </si>
  <si>
    <t>LIMITE MÁXIMO (incisos I, II e III, art. 20 da LRF) - &lt;%&gt;</t>
  </si>
  <si>
    <t>LIMITE PRUDENCIAL (parágrafo único, art. 22 da LRF) - &lt;%&gt;</t>
  </si>
  <si>
    <t>LIMITE DE ALERTA (inciso II do § 1º do art. 59 da LRF) - &lt;%&gt;</t>
  </si>
  <si>
    <t>Ano base da Avaliação</t>
  </si>
  <si>
    <t>Data Base:</t>
  </si>
  <si>
    <t>Data Cálculo:</t>
  </si>
  <si>
    <t>Calculado</t>
  </si>
  <si>
    <t>Informado</t>
  </si>
  <si>
    <t>Despesa com Pessoal (exceto RPPS)</t>
  </si>
  <si>
    <t>Dívida Consolidada Líquida – DCL</t>
  </si>
  <si>
    <t>Resultado Atuarial</t>
  </si>
  <si>
    <t>ANO</t>
  </si>
  <si>
    <t>RECEITA CORRENTE LÍQUIDA - RCL</t>
  </si>
  <si>
    <t>DESPESA LÍQUIDA COM PESSOAL</t>
  </si>
  <si>
    <t>Inflação do Ano</t>
  </si>
  <si>
    <t>Inflação Acumulada</t>
  </si>
  <si>
    <t>02 - Incremento do Custeio Especial proposto na RCL projetada do Ente</t>
  </si>
  <si>
    <t>Ente:</t>
  </si>
  <si>
    <t>Impacto do deficit atuarial após a inclusão no Quociente do Limite de Endividamento</t>
  </si>
  <si>
    <t>No.</t>
  </si>
  <si>
    <t>Aposentadorias e Pensões (Códigos 210000 e 220000)</t>
  </si>
  <si>
    <t>Contribuição Patronal (Código 121000 - Todos os Planos)</t>
  </si>
  <si>
    <t>Contribuição Suplementar (Código 130101 - Todos os Planos)</t>
  </si>
  <si>
    <t>Parcelamentos (Código 130201 - Todos os Planos)</t>
  </si>
  <si>
    <t>Insuficiência ou Excedente Financeiro (Código 250001 - Todos os Planos)</t>
  </si>
  <si>
    <t>Despesa com Pessoal - LRF</t>
  </si>
  <si>
    <t>Evolução dos Recursos Garantidores (Código 290001)</t>
  </si>
  <si>
    <t>Impacto da Despesa Total de Pessoal na RCL</t>
  </si>
  <si>
    <t>Relação com Limite Prudencial (Parágrafo único do art. 22 da LRF)</t>
  </si>
  <si>
    <t>Efetividade do Plano de Amortização</t>
  </si>
  <si>
    <t>Pessoal Ativo Efetivo (Código 109001)</t>
  </si>
  <si>
    <t>Indicadores de Viabilidade do Plano de Custeio</t>
  </si>
  <si>
    <t>01 - Crescimento Médio da Receita Corrente Líquida (RCL) e Despesa com Pessoal</t>
  </si>
  <si>
    <t>FLUXO ATUARIAL   -   CIVIL   -   PLANO PREVIDENCIÁRIO   -   BENEFÍCIOS AVALIADOS EM REGIME FINANCEIRO DE CAPITALIZAÇÃO   -   GERAÇÃO ATUAL</t>
  </si>
  <si>
    <t>(F) RENTABILIDADE
 (dos Ativos que compõem os Recursos Garantidores)</t>
  </si>
  <si>
    <r>
      <t>(G) EVOLUÇÃO DOS RECURSOS GARANTIDORES
 (I</t>
    </r>
    <r>
      <rPr>
        <b/>
        <sz val="11"/>
        <rFont val="Arial Narrow"/>
        <family val="2"/>
        <charset val="1"/>
      </rPr>
      <t>nformar o valor acumulado na data da avaliação)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</si>
</sst>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"/>
    <numFmt numFmtId="165" formatCode="_-* #,##0.00_-;\-* #,##0.00_-;_-* \-??_-;_-@_-"/>
    <numFmt numFmtId="166" formatCode="#,##0.00###"/>
    <numFmt numFmtId="167" formatCode="#,##0.00_ ;[Red]\-#,##0.00\ "/>
    <numFmt numFmtId="168" formatCode="_(* #,##0.00_);_(* \(#,##0.00\);_(* &quot;-&quot;??_);_(@_)"/>
    <numFmt numFmtId="169" formatCode="0.0%"/>
  </numFmts>
  <fonts count="34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 Narrow"/>
      <family val="2"/>
      <charset val="1"/>
    </font>
    <font>
      <b/>
      <sz val="12"/>
      <name val="Arial Narrow"/>
      <family val="2"/>
      <charset val="1"/>
    </font>
    <font>
      <b/>
      <sz val="20"/>
      <name val="Arial Narrow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FF"/>
      <name val="Arial Narrow"/>
      <family val="2"/>
      <charset val="1"/>
    </font>
    <font>
      <sz val="10"/>
      <name val="Mangal"/>
      <family val="2"/>
      <charset val="1"/>
    </font>
    <font>
      <b/>
      <sz val="12"/>
      <color rgb="FFFFFFFF"/>
      <name val="Arial Narrow"/>
      <family val="2"/>
      <charset val="1"/>
    </font>
    <font>
      <b/>
      <sz val="12"/>
      <color rgb="FF0000CC"/>
      <name val="Arial Narrow"/>
      <family val="2"/>
      <charset val="1"/>
    </font>
    <font>
      <sz val="12"/>
      <color rgb="FF0000FF"/>
      <name val="Arial Narrow"/>
      <family val="2"/>
      <charset val="1"/>
    </font>
    <font>
      <sz val="12"/>
      <name val="Arial Narrow"/>
      <family val="2"/>
      <charset val="1"/>
    </font>
    <font>
      <b/>
      <sz val="10"/>
      <color rgb="FFFFFFFF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6"/>
      <name val="Arial Narrow"/>
      <family val="2"/>
      <charset val="1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1"/>
      <name val="Arial Narrow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color indexed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 Narrow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BFBFBF"/>
        <bgColor rgb="FFD6DCE5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D6DCE5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8">
    <xf numFmtId="0" fontId="0" fillId="0" borderId="0"/>
    <xf numFmtId="165" fontId="10" fillId="0" borderId="0" applyBorder="0" applyProtection="0"/>
    <xf numFmtId="9" fontId="10" fillId="0" borderId="0" applyBorder="0" applyProtection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234">
    <xf numFmtId="0" fontId="0" fillId="0" borderId="0" xfId="0"/>
    <xf numFmtId="0" fontId="3" fillId="3" borderId="3" xfId="2" applyNumberFormat="1" applyFont="1" applyFill="1" applyBorder="1" applyAlignment="1" applyProtection="1"/>
    <xf numFmtId="0" fontId="5" fillId="3" borderId="4" xfId="2" applyNumberFormat="1" applyFont="1" applyFill="1" applyBorder="1" applyAlignment="1" applyProtection="1"/>
    <xf numFmtId="164" fontId="5" fillId="3" borderId="4" xfId="2" applyNumberFormat="1" applyFont="1" applyFill="1" applyBorder="1" applyAlignment="1" applyProtection="1"/>
    <xf numFmtId="0" fontId="5" fillId="3" borderId="5" xfId="2" applyNumberFormat="1" applyFont="1" applyFill="1" applyBorder="1" applyAlignment="1" applyProtection="1"/>
    <xf numFmtId="0" fontId="6" fillId="3" borderId="3" xfId="2" applyNumberFormat="1" applyFont="1" applyFill="1" applyBorder="1" applyAlignment="1" applyProtection="1"/>
    <xf numFmtId="0" fontId="6" fillId="3" borderId="4" xfId="2" applyNumberFormat="1" applyFont="1" applyFill="1" applyBorder="1" applyAlignment="1" applyProtection="1"/>
    <xf numFmtId="0" fontId="7" fillId="3" borderId="4" xfId="2" applyNumberFormat="1" applyFont="1" applyFill="1" applyBorder="1" applyAlignment="1" applyProtection="1"/>
    <xf numFmtId="0" fontId="7" fillId="3" borderId="5" xfId="2" applyNumberFormat="1" applyFont="1" applyFill="1" applyBorder="1" applyAlignment="1" applyProtection="1"/>
    <xf numFmtId="0" fontId="3" fillId="3" borderId="5" xfId="2" applyNumberFormat="1" applyFont="1" applyFill="1" applyBorder="1" applyAlignment="1" applyProtection="1">
      <alignment horizontal="center"/>
    </xf>
    <xf numFmtId="0" fontId="3" fillId="3" borderId="4" xfId="2" applyNumberFormat="1" applyFont="1" applyFill="1" applyBorder="1" applyAlignment="1" applyProtection="1"/>
    <xf numFmtId="0" fontId="3" fillId="3" borderId="5" xfId="2" applyNumberFormat="1" applyFont="1" applyFill="1" applyBorder="1" applyAlignment="1" applyProtection="1"/>
    <xf numFmtId="0" fontId="3" fillId="3" borderId="6" xfId="2" applyNumberFormat="1" applyFont="1" applyFill="1" applyBorder="1" applyAlignment="1" applyProtection="1">
      <alignment horizontal="center"/>
    </xf>
    <xf numFmtId="0" fontId="1" fillId="3" borderId="4" xfId="2" applyNumberFormat="1" applyFont="1" applyFill="1" applyBorder="1" applyAlignment="1" applyProtection="1"/>
    <xf numFmtId="0" fontId="8" fillId="3" borderId="4" xfId="2" applyNumberFormat="1" applyFont="1" applyFill="1" applyBorder="1" applyAlignment="1" applyProtection="1"/>
    <xf numFmtId="0" fontId="1" fillId="3" borderId="5" xfId="2" applyNumberFormat="1" applyFont="1" applyFill="1" applyBorder="1" applyAlignment="1" applyProtection="1"/>
    <xf numFmtId="1" fontId="9" fillId="0" borderId="7" xfId="2" applyNumberFormat="1" applyFont="1" applyBorder="1" applyAlignment="1" applyProtection="1">
      <alignment horizontal="center" vertical="center"/>
    </xf>
    <xf numFmtId="1" fontId="9" fillId="0" borderId="8" xfId="2" applyNumberFormat="1" applyFont="1" applyBorder="1" applyAlignment="1" applyProtection="1">
      <alignment horizontal="center" vertical="center"/>
    </xf>
    <xf numFmtId="1" fontId="9" fillId="4" borderId="8" xfId="2" applyNumberFormat="1" applyFont="1" applyFill="1" applyBorder="1" applyAlignment="1" applyProtection="1">
      <alignment horizontal="center" vertical="center"/>
    </xf>
    <xf numFmtId="1" fontId="2" fillId="4" borderId="8" xfId="2" applyNumberFormat="1" applyFont="1" applyFill="1" applyBorder="1" applyAlignment="1" applyProtection="1">
      <alignment horizontal="center" vertical="center"/>
    </xf>
    <xf numFmtId="1" fontId="3" fillId="0" borderId="8" xfId="2" applyNumberFormat="1" applyFont="1" applyBorder="1" applyAlignment="1" applyProtection="1">
      <alignment horizontal="center" vertical="center"/>
    </xf>
    <xf numFmtId="1" fontId="2" fillId="0" borderId="8" xfId="2" applyNumberFormat="1" applyFont="1" applyBorder="1" applyAlignment="1" applyProtection="1">
      <alignment horizontal="center" vertical="center"/>
    </xf>
    <xf numFmtId="10" fontId="9" fillId="0" borderId="7" xfId="2" applyNumberFormat="1" applyFont="1" applyBorder="1" applyAlignment="1" applyProtection="1">
      <alignment horizontal="center" vertical="center" wrapText="1"/>
    </xf>
    <xf numFmtId="164" fontId="3" fillId="0" borderId="8" xfId="2" applyNumberFormat="1" applyFont="1" applyBorder="1" applyAlignment="1" applyProtection="1">
      <alignment horizontal="center" vertical="center" wrapText="1"/>
    </xf>
    <xf numFmtId="2" fontId="9" fillId="0" borderId="8" xfId="2" applyNumberFormat="1" applyFont="1" applyBorder="1" applyAlignment="1" applyProtection="1">
      <alignment horizontal="center" vertical="center" wrapText="1"/>
    </xf>
    <xf numFmtId="10" fontId="9" fillId="0" borderId="8" xfId="2" applyNumberFormat="1" applyFont="1" applyBorder="1" applyAlignment="1" applyProtection="1">
      <alignment horizontal="center" vertical="center" wrapText="1"/>
    </xf>
    <xf numFmtId="10" fontId="3" fillId="0" borderId="8" xfId="2" applyNumberFormat="1" applyFont="1" applyBorder="1" applyAlignment="1" applyProtection="1">
      <alignment horizontal="center" vertical="center" wrapText="1"/>
    </xf>
    <xf numFmtId="10" fontId="3" fillId="4" borderId="8" xfId="2" applyNumberFormat="1" applyFont="1" applyFill="1" applyBorder="1" applyAlignment="1" applyProtection="1">
      <alignment horizontal="center" vertical="center" wrapText="1"/>
    </xf>
    <xf numFmtId="166" fontId="12" fillId="6" borderId="9" xfId="2" applyNumberFormat="1" applyFont="1" applyFill="1" applyBorder="1" applyAlignment="1" applyProtection="1">
      <alignment horizontal="center"/>
      <protection locked="0"/>
    </xf>
    <xf numFmtId="166" fontId="13" fillId="6" borderId="8" xfId="2" applyNumberFormat="1" applyFont="1" applyFill="1" applyBorder="1" applyAlignment="1" applyProtection="1">
      <alignment horizontal="center"/>
      <protection locked="0"/>
    </xf>
    <xf numFmtId="166" fontId="14" fillId="4" borderId="8" xfId="2" applyNumberFormat="1" applyFont="1" applyFill="1" applyBorder="1" applyAlignment="1" applyProtection="1">
      <alignment horizontal="center"/>
    </xf>
    <xf numFmtId="167" fontId="11" fillId="5" borderId="16" xfId="1" applyNumberFormat="1" applyFont="1" applyFill="1" applyBorder="1" applyAlignment="1" applyProtection="1">
      <alignment horizontal="center"/>
    </xf>
    <xf numFmtId="0" fontId="9" fillId="0" borderId="8" xfId="2" applyNumberFormat="1" applyFont="1" applyBorder="1" applyAlignment="1" applyProtection="1">
      <alignment horizontal="center" vertical="center"/>
    </xf>
    <xf numFmtId="0" fontId="9" fillId="0" borderId="8" xfId="2" applyNumberFormat="1" applyFont="1" applyBorder="1" applyAlignment="1" applyProtection="1">
      <alignment horizontal="center" vertical="center" wrapText="1"/>
    </xf>
    <xf numFmtId="0" fontId="13" fillId="6" borderId="8" xfId="2" applyNumberFormat="1" applyFont="1" applyFill="1" applyBorder="1" applyAlignment="1" applyProtection="1">
      <alignment horizontal="center"/>
      <protection locked="0"/>
    </xf>
    <xf numFmtId="0" fontId="4" fillId="8" borderId="0" xfId="2" applyNumberFormat="1" applyFont="1" applyFill="1" applyAlignment="1" applyProtection="1">
      <alignment horizontal="left"/>
    </xf>
    <xf numFmtId="0" fontId="3" fillId="8" borderId="0" xfId="2" applyNumberFormat="1" applyFont="1" applyFill="1" applyProtection="1"/>
    <xf numFmtId="164" fontId="3" fillId="8" borderId="0" xfId="2" applyNumberFormat="1" applyFont="1" applyFill="1" applyAlignment="1" applyProtection="1">
      <alignment horizontal="center"/>
    </xf>
    <xf numFmtId="0" fontId="3" fillId="7" borderId="0" xfId="2" applyNumberFormat="1" applyFont="1" applyFill="1" applyProtection="1"/>
    <xf numFmtId="0" fontId="17" fillId="9" borderId="22" xfId="2" applyNumberFormat="1" applyFont="1" applyFill="1" applyBorder="1" applyProtection="1"/>
    <xf numFmtId="0" fontId="11" fillId="5" borderId="8" xfId="2" applyNumberFormat="1" applyFont="1" applyFill="1" applyBorder="1" applyAlignment="1" applyProtection="1">
      <alignment horizontal="center"/>
    </xf>
    <xf numFmtId="166" fontId="14" fillId="0" borderId="8" xfId="2" applyNumberFormat="1" applyFont="1" applyBorder="1" applyAlignment="1" applyProtection="1">
      <alignment horizontal="center"/>
    </xf>
    <xf numFmtId="4" fontId="3" fillId="0" borderId="13" xfId="2" applyNumberFormat="1" applyFont="1" applyBorder="1" applyAlignment="1" applyProtection="1">
      <alignment horizontal="center"/>
    </xf>
    <xf numFmtId="4" fontId="3" fillId="0" borderId="16" xfId="2" applyNumberFormat="1" applyFont="1" applyBorder="1" applyAlignment="1" applyProtection="1">
      <alignment horizontal="center"/>
    </xf>
    <xf numFmtId="0" fontId="2" fillId="0" borderId="0" xfId="2" applyNumberFormat="1" applyFont="1" applyBorder="1" applyProtection="1"/>
    <xf numFmtId="0" fontId="21" fillId="7" borderId="0" xfId="4" applyFont="1" applyFill="1" applyBorder="1" applyAlignment="1">
      <alignment horizontal="center" vertical="center" wrapText="1"/>
    </xf>
    <xf numFmtId="0" fontId="23" fillId="7" borderId="0" xfId="4" applyFont="1" applyFill="1" applyBorder="1" applyAlignment="1">
      <alignment horizontal="center" vertical="center" wrapText="1"/>
    </xf>
    <xf numFmtId="0" fontId="18" fillId="7" borderId="0" xfId="4" applyFont="1" applyFill="1" applyBorder="1" applyAlignment="1">
      <alignment horizontal="center" vertical="center" wrapText="1"/>
    </xf>
    <xf numFmtId="0" fontId="23" fillId="7" borderId="0" xfId="4" applyFont="1" applyFill="1" applyBorder="1" applyAlignment="1">
      <alignment horizontal="center" vertical="center" textRotation="90" wrapText="1"/>
    </xf>
    <xf numFmtId="0" fontId="21" fillId="7" borderId="7" xfId="6" applyNumberFormat="1" applyFont="1" applyFill="1" applyBorder="1" applyAlignment="1">
      <alignment horizontal="center" vertical="center" wrapText="1"/>
    </xf>
    <xf numFmtId="10" fontId="24" fillId="7" borderId="9" xfId="5" applyNumberFormat="1" applyFont="1" applyFill="1" applyBorder="1" applyAlignment="1">
      <alignment horizontal="center" vertical="center" wrapText="1"/>
    </xf>
    <xf numFmtId="0" fontId="21" fillId="7" borderId="0" xfId="4" applyFont="1" applyFill="1" applyAlignment="1">
      <alignment horizontal="center" vertical="center" wrapText="1"/>
    </xf>
    <xf numFmtId="0" fontId="25" fillId="7" borderId="0" xfId="4" applyFont="1" applyFill="1" applyBorder="1" applyAlignment="1">
      <alignment horizontal="center" vertical="center" wrapText="1"/>
    </xf>
    <xf numFmtId="0" fontId="26" fillId="7" borderId="0" xfId="4" applyFont="1" applyFill="1"/>
    <xf numFmtId="0" fontId="27" fillId="7" borderId="0" xfId="4" applyFont="1" applyFill="1" applyAlignment="1"/>
    <xf numFmtId="0" fontId="26" fillId="7" borderId="0" xfId="4" applyFont="1" applyFill="1" applyBorder="1" applyAlignment="1">
      <alignment horizontal="center" vertical="center" wrapText="1"/>
    </xf>
    <xf numFmtId="0" fontId="26" fillId="7" borderId="0" xfId="4" applyFont="1" applyFill="1" applyBorder="1"/>
    <xf numFmtId="0" fontId="27" fillId="7" borderId="0" xfId="4" applyFont="1" applyFill="1" applyBorder="1" applyAlignment="1">
      <alignment horizontal="center" vertical="center" wrapText="1"/>
    </xf>
    <xf numFmtId="0" fontId="26" fillId="7" borderId="34" xfId="4" applyFont="1" applyFill="1" applyBorder="1" applyAlignment="1">
      <alignment horizontal="center" vertical="center" wrapText="1"/>
    </xf>
    <xf numFmtId="0" fontId="26" fillId="7" borderId="35" xfId="4" applyFont="1" applyFill="1" applyBorder="1" applyAlignment="1">
      <alignment horizontal="center" vertical="center" wrapText="1"/>
    </xf>
    <xf numFmtId="0" fontId="26" fillId="7" borderId="36" xfId="4" applyFont="1" applyFill="1" applyBorder="1" applyAlignment="1">
      <alignment horizontal="center" vertical="center" wrapText="1"/>
    </xf>
    <xf numFmtId="0" fontId="26" fillId="7" borderId="37" xfId="4" applyFont="1" applyFill="1" applyBorder="1" applyAlignment="1">
      <alignment horizontal="center" vertical="center" wrapText="1"/>
    </xf>
    <xf numFmtId="0" fontId="26" fillId="7" borderId="38" xfId="4" applyFont="1" applyFill="1" applyBorder="1" applyAlignment="1">
      <alignment horizontal="center" vertical="center" wrapText="1"/>
    </xf>
    <xf numFmtId="0" fontId="26" fillId="7" borderId="39" xfId="4" applyFont="1" applyFill="1" applyBorder="1" applyAlignment="1">
      <alignment horizontal="center" vertical="center" wrapText="1"/>
    </xf>
    <xf numFmtId="0" fontId="26" fillId="7" borderId="20" xfId="4" applyFont="1" applyFill="1" applyBorder="1" applyAlignment="1">
      <alignment horizontal="center" vertical="center" wrapText="1"/>
    </xf>
    <xf numFmtId="0" fontId="26" fillId="7" borderId="21" xfId="4" applyFont="1" applyFill="1" applyBorder="1" applyAlignment="1">
      <alignment horizontal="center" vertical="center" wrapText="1"/>
    </xf>
    <xf numFmtId="4" fontId="26" fillId="7" borderId="9" xfId="4" applyNumberFormat="1" applyFont="1" applyFill="1" applyBorder="1" applyAlignment="1">
      <alignment horizontal="center" vertical="center" wrapText="1"/>
    </xf>
    <xf numFmtId="4" fontId="26" fillId="7" borderId="8" xfId="4" applyNumberFormat="1" applyFont="1" applyFill="1" applyBorder="1" applyAlignment="1">
      <alignment horizontal="center" vertical="center" wrapText="1"/>
    </xf>
    <xf numFmtId="4" fontId="26" fillId="7" borderId="9" xfId="5" applyNumberFormat="1" applyFont="1" applyFill="1" applyBorder="1" applyAlignment="1">
      <alignment horizontal="center" vertical="center" wrapText="1"/>
    </xf>
    <xf numFmtId="0" fontId="27" fillId="7" borderId="0" xfId="4" applyFont="1" applyFill="1" applyBorder="1" applyAlignment="1">
      <alignment horizontal="center" vertical="center" textRotation="90" wrapText="1"/>
    </xf>
    <xf numFmtId="0" fontId="26" fillId="7" borderId="7" xfId="6" applyNumberFormat="1" applyFont="1" applyFill="1" applyBorder="1" applyAlignment="1">
      <alignment horizontal="center" vertical="center" wrapText="1"/>
    </xf>
    <xf numFmtId="168" fontId="26" fillId="7" borderId="8" xfId="6" applyFont="1" applyFill="1" applyBorder="1" applyAlignment="1">
      <alignment horizontal="center" vertical="center" wrapText="1"/>
    </xf>
    <xf numFmtId="0" fontId="26" fillId="7" borderId="41" xfId="6" applyNumberFormat="1" applyFont="1" applyFill="1" applyBorder="1" applyAlignment="1">
      <alignment horizontal="center" vertical="center" wrapText="1"/>
    </xf>
    <xf numFmtId="0" fontId="26" fillId="7" borderId="0" xfId="4" applyFont="1" applyFill="1" applyAlignment="1">
      <alignment horizontal="center" vertical="center" wrapText="1"/>
    </xf>
    <xf numFmtId="0" fontId="28" fillId="7" borderId="0" xfId="4" applyFont="1" applyFill="1" applyBorder="1" applyAlignment="1">
      <alignment horizontal="center" vertical="center" wrapText="1"/>
    </xf>
    <xf numFmtId="0" fontId="30" fillId="7" borderId="0" xfId="4" applyFont="1" applyFill="1" applyAlignment="1"/>
    <xf numFmtId="0" fontId="27" fillId="7" borderId="0" xfId="4" applyFont="1" applyFill="1" applyAlignment="1">
      <alignment horizontal="center" vertical="center" wrapText="1"/>
    </xf>
    <xf numFmtId="0" fontId="27" fillId="7" borderId="18" xfId="4" applyFont="1" applyFill="1" applyBorder="1" applyAlignment="1">
      <alignment horizontal="center" vertical="center" wrapText="1"/>
    </xf>
    <xf numFmtId="0" fontId="26" fillId="7" borderId="23" xfId="4" applyFont="1" applyFill="1" applyBorder="1" applyAlignment="1">
      <alignment horizontal="center" vertical="center" wrapText="1"/>
    </xf>
    <xf numFmtId="0" fontId="30" fillId="7" borderId="0" xfId="4" applyFont="1" applyFill="1" applyAlignment="1">
      <alignment horizontal="left" vertical="center"/>
    </xf>
    <xf numFmtId="10" fontId="26" fillId="7" borderId="0" xfId="5" applyNumberFormat="1" applyFont="1" applyFill="1" applyBorder="1" applyAlignment="1">
      <alignment horizontal="center" vertical="center" wrapText="1"/>
    </xf>
    <xf numFmtId="4" fontId="26" fillId="11" borderId="8" xfId="4" applyNumberFormat="1" applyFont="1" applyFill="1" applyBorder="1" applyAlignment="1">
      <alignment horizontal="center" vertical="center" wrapText="1"/>
    </xf>
    <xf numFmtId="4" fontId="26" fillId="11" borderId="9" xfId="4" applyNumberFormat="1" applyFont="1" applyFill="1" applyBorder="1" applyAlignment="1">
      <alignment horizontal="center" vertical="center" wrapText="1"/>
    </xf>
    <xf numFmtId="4" fontId="26" fillId="11" borderId="22" xfId="4" applyNumberFormat="1" applyFont="1" applyFill="1" applyBorder="1" applyAlignment="1">
      <alignment horizontal="center" vertical="center" wrapText="1"/>
    </xf>
    <xf numFmtId="168" fontId="26" fillId="11" borderId="8" xfId="6" applyFont="1" applyFill="1" applyBorder="1" applyAlignment="1">
      <alignment horizontal="center" vertical="center" wrapText="1"/>
    </xf>
    <xf numFmtId="10" fontId="26" fillId="11" borderId="8" xfId="5" applyNumberFormat="1" applyFont="1" applyFill="1" applyBorder="1" applyAlignment="1">
      <alignment horizontal="center" vertical="center" wrapText="1"/>
    </xf>
    <xf numFmtId="0" fontId="27" fillId="7" borderId="42" xfId="6" applyNumberFormat="1" applyFont="1" applyFill="1" applyBorder="1" applyAlignment="1">
      <alignment horizontal="center" vertical="center" wrapText="1"/>
    </xf>
    <xf numFmtId="0" fontId="27" fillId="7" borderId="43" xfId="4" applyFont="1" applyFill="1" applyBorder="1" applyAlignment="1">
      <alignment horizontal="center" vertical="center" wrapText="1"/>
    </xf>
    <xf numFmtId="0" fontId="27" fillId="7" borderId="44" xfId="4" applyFont="1" applyFill="1" applyBorder="1" applyAlignment="1">
      <alignment horizontal="center" vertical="center" wrapText="1"/>
    </xf>
    <xf numFmtId="0" fontId="27" fillId="7" borderId="45" xfId="4" applyFont="1" applyFill="1" applyBorder="1" applyAlignment="1">
      <alignment horizontal="center" vertical="center" wrapText="1"/>
    </xf>
    <xf numFmtId="10" fontId="26" fillId="7" borderId="9" xfId="5" applyNumberFormat="1" applyFont="1" applyFill="1" applyBorder="1" applyAlignment="1">
      <alignment horizontal="center" vertical="center" wrapText="1"/>
    </xf>
    <xf numFmtId="168" fontId="26" fillId="7" borderId="40" xfId="6" applyFont="1" applyFill="1" applyBorder="1" applyAlignment="1">
      <alignment horizontal="center" vertical="center" wrapText="1"/>
    </xf>
    <xf numFmtId="0" fontId="27" fillId="7" borderId="19" xfId="4" applyFont="1" applyFill="1" applyBorder="1" applyAlignment="1">
      <alignment horizontal="center" vertical="center" wrapText="1"/>
    </xf>
    <xf numFmtId="0" fontId="27" fillId="7" borderId="20" xfId="4" applyFont="1" applyFill="1" applyBorder="1" applyAlignment="1">
      <alignment horizontal="center" vertical="center" wrapText="1"/>
    </xf>
    <xf numFmtId="168" fontId="27" fillId="7" borderId="20" xfId="6" applyFont="1" applyFill="1" applyBorder="1" applyAlignment="1">
      <alignment horizontal="center" vertical="center" wrapText="1"/>
    </xf>
    <xf numFmtId="168" fontId="27" fillId="7" borderId="21" xfId="6" applyFont="1" applyFill="1" applyBorder="1" applyAlignment="1">
      <alignment horizontal="center" vertical="center" wrapText="1"/>
    </xf>
    <xf numFmtId="10" fontId="26" fillId="11" borderId="7" xfId="5" applyNumberFormat="1" applyFont="1" applyFill="1" applyBorder="1" applyAlignment="1">
      <alignment horizontal="center" vertical="center" wrapText="1"/>
    </xf>
    <xf numFmtId="10" fontId="26" fillId="11" borderId="9" xfId="5" applyNumberFormat="1" applyFont="1" applyFill="1" applyBorder="1" applyAlignment="1">
      <alignment horizontal="center" vertical="center" wrapText="1"/>
    </xf>
    <xf numFmtId="10" fontId="26" fillId="11" borderId="41" xfId="5" applyNumberFormat="1" applyFont="1" applyFill="1" applyBorder="1" applyAlignment="1">
      <alignment horizontal="center" vertical="center" wrapText="1"/>
    </xf>
    <xf numFmtId="168" fontId="26" fillId="11" borderId="40" xfId="6" applyFont="1" applyFill="1" applyBorder="1" applyAlignment="1">
      <alignment horizontal="center" vertical="center" wrapText="1"/>
    </xf>
    <xf numFmtId="10" fontId="26" fillId="11" borderId="40" xfId="5" applyNumberFormat="1" applyFont="1" applyFill="1" applyBorder="1" applyAlignment="1">
      <alignment horizontal="center" vertical="center" wrapText="1"/>
    </xf>
    <xf numFmtId="10" fontId="26" fillId="11" borderId="22" xfId="5" applyNumberFormat="1" applyFont="1" applyFill="1" applyBorder="1" applyAlignment="1">
      <alignment horizontal="center" vertical="center" wrapText="1"/>
    </xf>
    <xf numFmtId="0" fontId="24" fillId="0" borderId="0" xfId="3" applyFont="1"/>
    <xf numFmtId="0" fontId="26" fillId="0" borderId="0" xfId="3" applyNumberFormat="1" applyFont="1" applyFill="1" applyBorder="1" applyAlignment="1"/>
    <xf numFmtId="40" fontId="26" fillId="0" borderId="11" xfId="3" applyNumberFormat="1" applyFont="1" applyFill="1" applyBorder="1" applyAlignment="1"/>
    <xf numFmtId="0" fontId="24" fillId="0" borderId="0" xfId="3" applyFont="1" applyBorder="1"/>
    <xf numFmtId="0" fontId="26" fillId="0" borderId="30" xfId="3" applyNumberFormat="1" applyFont="1" applyFill="1" applyBorder="1" applyAlignment="1">
      <alignment horizontal="left"/>
    </xf>
    <xf numFmtId="0" fontId="26" fillId="0" borderId="31" xfId="3" applyNumberFormat="1" applyFont="1" applyFill="1" applyBorder="1" applyAlignment="1"/>
    <xf numFmtId="40" fontId="26" fillId="0" borderId="8" xfId="3" applyNumberFormat="1" applyFont="1" applyFill="1" applyBorder="1" applyAlignment="1"/>
    <xf numFmtId="0" fontId="26" fillId="0" borderId="31" xfId="3" applyNumberFormat="1" applyFont="1" applyFill="1" applyBorder="1" applyAlignment="1">
      <alignment horizontal="left"/>
    </xf>
    <xf numFmtId="0" fontId="26" fillId="0" borderId="31" xfId="3" applyNumberFormat="1" applyFont="1" applyFill="1" applyBorder="1" applyAlignment="1">
      <alignment horizontal="left" indent="1"/>
    </xf>
    <xf numFmtId="0" fontId="26" fillId="0" borderId="32" xfId="3" applyNumberFormat="1" applyFont="1" applyFill="1" applyBorder="1" applyAlignment="1">
      <alignment horizontal="left" indent="1"/>
    </xf>
    <xf numFmtId="0" fontId="26" fillId="0" borderId="32" xfId="3" applyNumberFormat="1" applyFont="1" applyFill="1" applyBorder="1" applyAlignment="1"/>
    <xf numFmtId="40" fontId="26" fillId="0" borderId="33" xfId="3" applyNumberFormat="1" applyFont="1" applyFill="1" applyBorder="1" applyAlignment="1"/>
    <xf numFmtId="0" fontId="26" fillId="10" borderId="31" xfId="3" applyNumberFormat="1" applyFont="1" applyFill="1" applyBorder="1" applyAlignment="1"/>
    <xf numFmtId="10" fontId="26" fillId="7" borderId="0" xfId="5" applyNumberFormat="1" applyFont="1" applyFill="1"/>
    <xf numFmtId="0" fontId="27" fillId="7" borderId="0" xfId="4" applyFont="1" applyFill="1"/>
    <xf numFmtId="10" fontId="27" fillId="7" borderId="0" xfId="5" applyNumberFormat="1" applyFont="1" applyFill="1"/>
    <xf numFmtId="0" fontId="27" fillId="7" borderId="19" xfId="6" applyNumberFormat="1" applyFont="1" applyFill="1" applyBorder="1" applyAlignment="1">
      <alignment horizontal="center" vertical="center" wrapText="1"/>
    </xf>
    <xf numFmtId="0" fontId="27" fillId="7" borderId="20" xfId="6" applyNumberFormat="1" applyFont="1" applyFill="1" applyBorder="1" applyAlignment="1">
      <alignment horizontal="center" vertical="center" wrapText="1"/>
    </xf>
    <xf numFmtId="0" fontId="27" fillId="7" borderId="20" xfId="4" applyFont="1" applyFill="1" applyBorder="1" applyAlignment="1">
      <alignment vertical="center" wrapText="1"/>
    </xf>
    <xf numFmtId="10" fontId="27" fillId="7" borderId="20" xfId="4" applyNumberFormat="1" applyFont="1" applyFill="1" applyBorder="1" applyAlignment="1">
      <alignment horizontal="center" vertical="center" wrapText="1"/>
    </xf>
    <xf numFmtId="0" fontId="27" fillId="7" borderId="21" xfId="4" applyFont="1" applyFill="1" applyBorder="1" applyAlignment="1">
      <alignment horizontal="center" vertical="center" wrapText="1"/>
    </xf>
    <xf numFmtId="10" fontId="27" fillId="7" borderId="0" xfId="5" applyNumberFormat="1" applyFont="1" applyFill="1" applyBorder="1" applyAlignment="1">
      <alignment horizontal="center" vertical="center" textRotation="90" wrapText="1"/>
    </xf>
    <xf numFmtId="10" fontId="29" fillId="7" borderId="32" xfId="5" applyNumberFormat="1" applyFont="1" applyFill="1" applyBorder="1" applyAlignment="1">
      <alignment horizontal="center" vertical="center" wrapText="1"/>
    </xf>
    <xf numFmtId="0" fontId="26" fillId="11" borderId="7" xfId="6" applyNumberFormat="1" applyFont="1" applyFill="1" applyBorder="1" applyAlignment="1">
      <alignment horizontal="center" vertical="center" wrapText="1"/>
    </xf>
    <xf numFmtId="0" fontId="26" fillId="11" borderId="8" xfId="6" applyNumberFormat="1" applyFont="1" applyFill="1" applyBorder="1" applyAlignment="1">
      <alignment horizontal="center" vertical="center" wrapText="1"/>
    </xf>
    <xf numFmtId="0" fontId="26" fillId="11" borderId="41" xfId="6" applyNumberFormat="1" applyFont="1" applyFill="1" applyBorder="1" applyAlignment="1">
      <alignment horizontal="center" vertical="center" wrapText="1"/>
    </xf>
    <xf numFmtId="0" fontId="26" fillId="11" borderId="40" xfId="6" applyNumberFormat="1" applyFont="1" applyFill="1" applyBorder="1" applyAlignment="1">
      <alignment horizontal="center" vertical="center" wrapText="1"/>
    </xf>
    <xf numFmtId="168" fontId="26" fillId="11" borderId="8" xfId="4" applyNumberFormat="1" applyFont="1" applyFill="1" applyBorder="1" applyAlignment="1">
      <alignment horizontal="center" vertical="center" wrapText="1"/>
    </xf>
    <xf numFmtId="168" fontId="26" fillId="11" borderId="9" xfId="4" applyNumberFormat="1" applyFont="1" applyFill="1" applyBorder="1" applyAlignment="1">
      <alignment horizontal="center" vertical="center" wrapText="1"/>
    </xf>
    <xf numFmtId="0" fontId="24" fillId="7" borderId="8" xfId="6" applyNumberFormat="1" applyFont="1" applyFill="1" applyBorder="1" applyAlignment="1">
      <alignment horizontal="center" vertical="center" wrapText="1"/>
    </xf>
    <xf numFmtId="10" fontId="24" fillId="7" borderId="8" xfId="5" applyNumberFormat="1" applyFont="1" applyFill="1" applyBorder="1" applyAlignment="1">
      <alignment horizontal="center" vertical="center" wrapText="1"/>
    </xf>
    <xf numFmtId="0" fontId="21" fillId="7" borderId="41" xfId="6" applyNumberFormat="1" applyFont="1" applyFill="1" applyBorder="1" applyAlignment="1">
      <alignment horizontal="center" vertical="center" wrapText="1"/>
    </xf>
    <xf numFmtId="0" fontId="24" fillId="7" borderId="40" xfId="6" applyNumberFormat="1" applyFont="1" applyFill="1" applyBorder="1" applyAlignment="1">
      <alignment horizontal="center" vertical="center" wrapText="1"/>
    </xf>
    <xf numFmtId="10" fontId="24" fillId="7" borderId="40" xfId="5" applyNumberFormat="1" applyFont="1" applyFill="1" applyBorder="1" applyAlignment="1">
      <alignment horizontal="center" vertical="center" wrapText="1"/>
    </xf>
    <xf numFmtId="10" fontId="24" fillId="7" borderId="22" xfId="5" applyNumberFormat="1" applyFont="1" applyFill="1" applyBorder="1" applyAlignment="1">
      <alignment horizontal="center" vertical="center" wrapText="1"/>
    </xf>
    <xf numFmtId="0" fontId="21" fillId="7" borderId="46" xfId="6" applyNumberFormat="1" applyFont="1" applyFill="1" applyBorder="1" applyAlignment="1">
      <alignment horizontal="center" vertical="center" wrapText="1"/>
    </xf>
    <xf numFmtId="0" fontId="24" fillId="7" borderId="33" xfId="6" applyNumberFormat="1" applyFont="1" applyFill="1" applyBorder="1" applyAlignment="1">
      <alignment horizontal="center" vertical="center" wrapText="1"/>
    </xf>
    <xf numFmtId="10" fontId="24" fillId="7" borderId="33" xfId="5" applyNumberFormat="1" applyFont="1" applyFill="1" applyBorder="1" applyAlignment="1">
      <alignment horizontal="center" vertical="center" wrapText="1"/>
    </xf>
    <xf numFmtId="10" fontId="24" fillId="7" borderId="47" xfId="5" applyNumberFormat="1" applyFont="1" applyFill="1" applyBorder="1" applyAlignment="1">
      <alignment horizontal="center" vertical="center" wrapText="1"/>
    </xf>
    <xf numFmtId="0" fontId="20" fillId="7" borderId="0" xfId="4" applyFont="1" applyFill="1" applyAlignment="1">
      <alignment horizontal="center"/>
    </xf>
    <xf numFmtId="0" fontId="19" fillId="7" borderId="0" xfId="4" applyFill="1" applyAlignment="1">
      <alignment horizontal="center"/>
    </xf>
    <xf numFmtId="0" fontId="22" fillId="7" borderId="0" xfId="4" applyFont="1" applyFill="1" applyAlignment="1">
      <alignment horizontal="center"/>
    </xf>
    <xf numFmtId="0" fontId="18" fillId="7" borderId="34" xfId="4" applyFont="1" applyFill="1" applyBorder="1" applyAlignment="1">
      <alignment horizontal="center"/>
    </xf>
    <xf numFmtId="0" fontId="18" fillId="7" borderId="0" xfId="4" applyFont="1" applyFill="1" applyBorder="1" applyAlignment="1">
      <alignment horizontal="center"/>
    </xf>
    <xf numFmtId="0" fontId="19" fillId="7" borderId="0" xfId="4" applyFill="1" applyBorder="1" applyAlignment="1">
      <alignment horizontal="center"/>
    </xf>
    <xf numFmtId="0" fontId="18" fillId="7" borderId="36" xfId="4" applyFont="1" applyFill="1" applyBorder="1" applyAlignment="1">
      <alignment horizontal="center"/>
    </xf>
    <xf numFmtId="0" fontId="18" fillId="7" borderId="38" xfId="4" applyFont="1" applyFill="1" applyBorder="1" applyAlignment="1">
      <alignment horizontal="center"/>
    </xf>
    <xf numFmtId="0" fontId="23" fillId="7" borderId="12" xfId="6" applyNumberFormat="1" applyFont="1" applyFill="1" applyBorder="1" applyAlignment="1">
      <alignment horizontal="center" vertical="center" wrapText="1"/>
    </xf>
    <xf numFmtId="0" fontId="23" fillId="7" borderId="13" xfId="6" applyNumberFormat="1" applyFont="1" applyFill="1" applyBorder="1" applyAlignment="1">
      <alignment horizontal="center" vertical="center" wrapText="1"/>
    </xf>
    <xf numFmtId="10" fontId="23" fillId="7" borderId="13" xfId="4" applyNumberFormat="1" applyFont="1" applyFill="1" applyBorder="1" applyAlignment="1">
      <alignment horizontal="center" vertical="center" wrapText="1"/>
    </xf>
    <xf numFmtId="0" fontId="23" fillId="7" borderId="13" xfId="4" applyFont="1" applyFill="1" applyBorder="1" applyAlignment="1">
      <alignment horizontal="center" vertical="center" wrapText="1"/>
    </xf>
    <xf numFmtId="0" fontId="23" fillId="7" borderId="14" xfId="4" applyFont="1" applyFill="1" applyBorder="1" applyAlignment="1">
      <alignment horizontal="center" vertical="center" wrapText="1"/>
    </xf>
    <xf numFmtId="0" fontId="20" fillId="7" borderId="0" xfId="4" applyFont="1" applyFill="1" applyAlignment="1">
      <alignment horizontal="left"/>
    </xf>
    <xf numFmtId="0" fontId="21" fillId="7" borderId="0" xfId="4" applyFont="1" applyFill="1" applyBorder="1" applyAlignment="1">
      <alignment horizontal="left" vertical="center" wrapText="1"/>
    </xf>
    <xf numFmtId="0" fontId="27" fillId="10" borderId="8" xfId="3" applyNumberFormat="1" applyFont="1" applyFill="1" applyBorder="1" applyAlignment="1">
      <alignment horizontal="center"/>
    </xf>
    <xf numFmtId="40" fontId="26" fillId="0" borderId="8" xfId="3" applyNumberFormat="1" applyFont="1" applyFill="1" applyBorder="1" applyAlignment="1">
      <alignment horizontal="center"/>
    </xf>
    <xf numFmtId="40" fontId="27" fillId="10" borderId="8" xfId="3" applyNumberFormat="1" applyFont="1" applyFill="1" applyBorder="1" applyAlignment="1">
      <alignment horizontal="center"/>
    </xf>
    <xf numFmtId="169" fontId="26" fillId="10" borderId="8" xfId="7" applyNumberFormat="1" applyFont="1" applyFill="1" applyBorder="1" applyAlignment="1">
      <alignment horizontal="center"/>
    </xf>
    <xf numFmtId="169" fontId="26" fillId="0" borderId="8" xfId="7" applyNumberFormat="1" applyFont="1" applyFill="1" applyBorder="1" applyAlignment="1">
      <alignment horizontal="center"/>
    </xf>
    <xf numFmtId="169" fontId="26" fillId="0" borderId="8" xfId="3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7" fillId="10" borderId="11" xfId="3" applyNumberFormat="1" applyFont="1" applyFill="1" applyBorder="1" applyAlignment="1">
      <alignment horizontal="center"/>
    </xf>
    <xf numFmtId="0" fontId="27" fillId="10" borderId="33" xfId="3" applyNumberFormat="1" applyFont="1" applyFill="1" applyBorder="1" applyAlignment="1">
      <alignment horizontal="center"/>
    </xf>
    <xf numFmtId="0" fontId="18" fillId="7" borderId="49" xfId="4" applyFont="1" applyFill="1" applyBorder="1" applyAlignment="1">
      <alignment horizontal="center" vertical="center"/>
    </xf>
    <xf numFmtId="0" fontId="18" fillId="7" borderId="50" xfId="4" applyFont="1" applyFill="1" applyBorder="1" applyAlignment="1">
      <alignment horizontal="center" vertical="center"/>
    </xf>
    <xf numFmtId="0" fontId="18" fillId="7" borderId="36" xfId="4" applyFont="1" applyFill="1" applyBorder="1" applyAlignment="1">
      <alignment horizontal="left" vertical="center"/>
    </xf>
    <xf numFmtId="0" fontId="18" fillId="7" borderId="38" xfId="4" applyFont="1" applyFill="1" applyBorder="1" applyAlignment="1">
      <alignment horizontal="left" vertical="center"/>
    </xf>
    <xf numFmtId="0" fontId="26" fillId="7" borderId="7" xfId="4" applyFont="1" applyFill="1" applyBorder="1" applyAlignment="1">
      <alignment horizontal="left" vertical="center" wrapText="1"/>
    </xf>
    <xf numFmtId="0" fontId="26" fillId="7" borderId="41" xfId="4" applyFont="1" applyFill="1" applyBorder="1" applyAlignment="1">
      <alignment horizontal="left" vertical="center" wrapText="1"/>
    </xf>
    <xf numFmtId="0" fontId="4" fillId="2" borderId="0" xfId="2" applyNumberFormat="1" applyFont="1" applyFill="1" applyAlignment="1" applyProtection="1">
      <alignment horizontal="left"/>
    </xf>
    <xf numFmtId="0" fontId="3" fillId="2" borderId="0" xfId="2" applyNumberFormat="1" applyFont="1" applyFill="1" applyProtection="1"/>
    <xf numFmtId="164" fontId="3" fillId="2" borderId="0" xfId="2" applyNumberFormat="1" applyFont="1" applyFill="1" applyAlignment="1" applyProtection="1">
      <alignment horizontal="center"/>
    </xf>
    <xf numFmtId="0" fontId="3" fillId="0" borderId="0" xfId="2" applyNumberFormat="1" applyFont="1" applyProtection="1"/>
    <xf numFmtId="0" fontId="17" fillId="8" borderId="23" xfId="2" applyNumberFormat="1" applyFont="1" applyFill="1" applyBorder="1" applyAlignment="1" applyProtection="1">
      <alignment horizontal="left"/>
    </xf>
    <xf numFmtId="0" fontId="17" fillId="8" borderId="19" xfId="2" applyNumberFormat="1" applyFont="1" applyFill="1" applyBorder="1" applyAlignment="1" applyProtection="1"/>
    <xf numFmtId="0" fontId="3" fillId="7" borderId="20" xfId="2" applyNumberFormat="1" applyFont="1" applyFill="1" applyBorder="1" applyProtection="1"/>
    <xf numFmtId="9" fontId="17" fillId="8" borderId="21" xfId="2" applyNumberFormat="1" applyFont="1" applyFill="1" applyBorder="1" applyAlignment="1" applyProtection="1">
      <alignment horizontal="center"/>
      <protection locked="0"/>
    </xf>
    <xf numFmtId="0" fontId="3" fillId="8" borderId="0" xfId="2" applyNumberFormat="1" applyFont="1" applyFill="1" applyProtection="1">
      <protection locked="0"/>
    </xf>
    <xf numFmtId="0" fontId="2" fillId="0" borderId="0" xfId="2" applyNumberFormat="1" applyFont="1"/>
    <xf numFmtId="0" fontId="2" fillId="0" borderId="0" xfId="2" applyNumberFormat="1" applyFont="1" applyProtection="1"/>
    <xf numFmtId="4" fontId="3" fillId="0" borderId="9" xfId="2" applyNumberFormat="1" applyFont="1" applyBorder="1" applyAlignment="1" applyProtection="1">
      <alignment horizontal="center" vertical="center" wrapText="1"/>
    </xf>
    <xf numFmtId="0" fontId="3" fillId="0" borderId="0" xfId="2" applyNumberFormat="1" applyFont="1" applyAlignment="1" applyProtection="1">
      <alignment horizontal="center" vertical="center" wrapText="1"/>
    </xf>
    <xf numFmtId="0" fontId="11" fillId="5" borderId="7" xfId="2" applyNumberFormat="1" applyFont="1" applyFill="1" applyBorder="1"/>
    <xf numFmtId="0" fontId="11" fillId="5" borderId="8" xfId="2" applyNumberFormat="1" applyFont="1" applyFill="1" applyBorder="1"/>
    <xf numFmtId="164" fontId="11" fillId="5" borderId="8" xfId="2" applyNumberFormat="1" applyFont="1" applyFill="1" applyBorder="1" applyAlignment="1">
      <alignment horizontal="center"/>
    </xf>
    <xf numFmtId="0" fontId="11" fillId="5" borderId="8" xfId="2" applyNumberFormat="1" applyFont="1" applyFill="1" applyBorder="1" applyAlignment="1">
      <alignment horizontal="center"/>
    </xf>
    <xf numFmtId="0" fontId="9" fillId="5" borderId="8" xfId="2" applyNumberFormat="1" applyFont="1" applyFill="1" applyBorder="1" applyAlignment="1">
      <alignment horizontal="center"/>
    </xf>
    <xf numFmtId="0" fontId="3" fillId="5" borderId="8" xfId="2" applyNumberFormat="1" applyFont="1" applyFill="1" applyBorder="1" applyAlignment="1">
      <alignment horizontal="center"/>
    </xf>
    <xf numFmtId="3" fontId="13" fillId="6" borderId="7" xfId="2" applyNumberFormat="1" applyFont="1" applyFill="1" applyBorder="1" applyAlignment="1" applyProtection="1">
      <alignment horizontal="center"/>
      <protection locked="0"/>
    </xf>
    <xf numFmtId="166" fontId="14" fillId="0" borderId="8" xfId="2" applyNumberFormat="1" applyFont="1" applyBorder="1" applyAlignment="1">
      <alignment horizontal="center"/>
    </xf>
    <xf numFmtId="166" fontId="14" fillId="0" borderId="9" xfId="2" applyNumberFormat="1" applyFont="1" applyBorder="1" applyAlignment="1">
      <alignment horizontal="center"/>
    </xf>
    <xf numFmtId="3" fontId="14" fillId="0" borderId="7" xfId="2" applyNumberFormat="1" applyFont="1" applyBorder="1" applyAlignment="1" applyProtection="1">
      <alignment horizontal="center"/>
      <protection hidden="1"/>
    </xf>
    <xf numFmtId="0" fontId="14" fillId="0" borderId="8" xfId="2" applyNumberFormat="1" applyFont="1" applyBorder="1" applyAlignment="1" applyProtection="1">
      <alignment horizontal="center"/>
      <protection hidden="1"/>
    </xf>
    <xf numFmtId="3" fontId="14" fillId="0" borderId="10" xfId="2" applyNumberFormat="1" applyFont="1" applyBorder="1" applyAlignment="1" applyProtection="1">
      <alignment horizontal="center"/>
      <protection hidden="1"/>
    </xf>
    <xf numFmtId="0" fontId="14" fillId="0" borderId="11" xfId="2" applyNumberFormat="1" applyFont="1" applyBorder="1" applyAlignment="1" applyProtection="1">
      <alignment horizontal="center"/>
      <protection hidden="1"/>
    </xf>
    <xf numFmtId="166" fontId="13" fillId="6" borderId="11" xfId="2" applyNumberFormat="1" applyFont="1" applyFill="1" applyBorder="1" applyAlignment="1" applyProtection="1">
      <alignment horizontal="center"/>
      <protection locked="0"/>
    </xf>
    <xf numFmtId="1" fontId="15" fillId="5" borderId="12" xfId="2" applyNumberFormat="1" applyFont="1" applyFill="1" applyBorder="1" applyAlignment="1" applyProtection="1">
      <alignment horizontal="left"/>
      <protection hidden="1"/>
    </xf>
    <xf numFmtId="0" fontId="11" fillId="5" borderId="13" xfId="2" applyNumberFormat="1" applyFont="1" applyFill="1" applyBorder="1" applyProtection="1">
      <protection hidden="1"/>
    </xf>
    <xf numFmtId="0" fontId="16" fillId="5" borderId="13" xfId="0" applyFont="1" applyFill="1" applyBorder="1"/>
    <xf numFmtId="164" fontId="16" fillId="5" borderId="13" xfId="0" applyNumberFormat="1" applyFont="1" applyFill="1" applyBorder="1"/>
    <xf numFmtId="4" fontId="3" fillId="0" borderId="13" xfId="2" applyNumberFormat="1" applyFont="1" applyBorder="1" applyAlignment="1">
      <alignment horizontal="center"/>
    </xf>
    <xf numFmtId="167" fontId="11" fillId="5" borderId="13" xfId="1" applyNumberFormat="1" applyFont="1" applyFill="1" applyBorder="1" applyAlignment="1" applyProtection="1">
      <alignment horizontal="center"/>
    </xf>
    <xf numFmtId="0" fontId="8" fillId="5" borderId="13" xfId="0" applyFont="1" applyFill="1" applyBorder="1"/>
    <xf numFmtId="0" fontId="16" fillId="5" borderId="14" xfId="0" applyFont="1" applyFill="1" applyBorder="1"/>
    <xf numFmtId="0" fontId="3" fillId="0" borderId="0" xfId="2" applyNumberFormat="1" applyFont="1"/>
    <xf numFmtId="1" fontId="15" fillId="5" borderId="15" xfId="2" applyNumberFormat="1" applyFont="1" applyFill="1" applyBorder="1" applyAlignment="1" applyProtection="1">
      <alignment horizontal="left"/>
      <protection hidden="1"/>
    </xf>
    <xf numFmtId="0" fontId="11" fillId="5" borderId="16" xfId="2" applyNumberFormat="1" applyFont="1" applyFill="1" applyBorder="1" applyProtection="1">
      <protection hidden="1"/>
    </xf>
    <xf numFmtId="0" fontId="16" fillId="5" borderId="16" xfId="0" applyFont="1" applyFill="1" applyBorder="1"/>
    <xf numFmtId="164" fontId="16" fillId="5" borderId="16" xfId="0" applyNumberFormat="1" applyFont="1" applyFill="1" applyBorder="1"/>
    <xf numFmtId="4" fontId="3" fillId="0" borderId="16" xfId="2" applyNumberFormat="1" applyFont="1" applyBorder="1" applyAlignment="1">
      <alignment horizontal="center"/>
    </xf>
    <xf numFmtId="0" fontId="8" fillId="5" borderId="16" xfId="0" applyFont="1" applyFill="1" applyBorder="1"/>
    <xf numFmtId="0" fontId="16" fillId="5" borderId="17" xfId="0" applyFont="1" applyFill="1" applyBorder="1"/>
    <xf numFmtId="0" fontId="2" fillId="0" borderId="1" xfId="2" applyNumberFormat="1" applyFont="1" applyBorder="1"/>
    <xf numFmtId="0" fontId="2" fillId="0" borderId="0" xfId="2" applyNumberFormat="1" applyFont="1" applyBorder="1"/>
    <xf numFmtId="0" fontId="2" fillId="0" borderId="0" xfId="2" applyNumberFormat="1" applyFont="1" applyBorder="1" applyAlignment="1">
      <alignment horizontal="center"/>
    </xf>
    <xf numFmtId="0" fontId="3" fillId="0" borderId="0" xfId="2" applyNumberFormat="1" applyFont="1" applyBorder="1"/>
    <xf numFmtId="0" fontId="2" fillId="0" borderId="2" xfId="2" applyNumberFormat="1" applyFont="1" applyBorder="1"/>
    <xf numFmtId="0" fontId="17" fillId="9" borderId="24" xfId="2" applyNumberFormat="1" applyFont="1" applyFill="1" applyBorder="1" applyAlignment="1" applyProtection="1">
      <alignment horizontal="left"/>
    </xf>
    <xf numFmtId="0" fontId="17" fillId="9" borderId="25" xfId="2" applyNumberFormat="1" applyFont="1" applyFill="1" applyBorder="1" applyAlignment="1" applyProtection="1">
      <alignment horizontal="left"/>
    </xf>
    <xf numFmtId="0" fontId="17" fillId="9" borderId="26" xfId="2" applyNumberFormat="1" applyFont="1" applyFill="1" applyBorder="1" applyAlignment="1" applyProtection="1">
      <alignment horizontal="left"/>
    </xf>
    <xf numFmtId="0" fontId="27" fillId="10" borderId="27" xfId="3" applyNumberFormat="1" applyFont="1" applyFill="1" applyBorder="1" applyAlignment="1">
      <alignment horizontal="center" vertical="center"/>
    </xf>
    <xf numFmtId="0" fontId="27" fillId="10" borderId="28" xfId="3" applyNumberFormat="1" applyFont="1" applyFill="1" applyBorder="1" applyAlignment="1">
      <alignment horizontal="center" vertical="center"/>
    </xf>
    <xf numFmtId="0" fontId="27" fillId="10" borderId="0" xfId="3" applyNumberFormat="1" applyFont="1" applyFill="1" applyBorder="1" applyAlignment="1">
      <alignment horizontal="center" vertical="center"/>
    </xf>
    <xf numFmtId="0" fontId="27" fillId="10" borderId="29" xfId="3" applyNumberFormat="1" applyFont="1" applyFill="1" applyBorder="1" applyAlignment="1">
      <alignment horizontal="center" vertical="center"/>
    </xf>
    <xf numFmtId="0" fontId="27" fillId="10" borderId="31" xfId="3" applyNumberFormat="1" applyFont="1" applyFill="1" applyBorder="1" applyAlignment="1">
      <alignment horizontal="center"/>
    </xf>
    <xf numFmtId="0" fontId="26" fillId="0" borderId="31" xfId="3" applyNumberFormat="1" applyFont="1" applyFill="1" applyBorder="1" applyAlignment="1"/>
    <xf numFmtId="17" fontId="32" fillId="0" borderId="0" xfId="0" applyNumberFormat="1" applyFont="1" applyAlignment="1">
      <alignment horizontal="center" vertical="center" wrapText="1"/>
    </xf>
    <xf numFmtId="0" fontId="29" fillId="7" borderId="32" xfId="4" applyFont="1" applyFill="1" applyBorder="1" applyAlignment="1">
      <alignment horizontal="left" vertical="center" wrapText="1"/>
    </xf>
    <xf numFmtId="0" fontId="18" fillId="7" borderId="34" xfId="4" applyFont="1" applyFill="1" applyBorder="1" applyAlignment="1">
      <alignment horizontal="left" vertical="center" wrapText="1"/>
    </xf>
    <xf numFmtId="0" fontId="18" fillId="7" borderId="48" xfId="4" applyFont="1" applyFill="1" applyBorder="1" applyAlignment="1">
      <alignment horizontal="left" vertical="center" wrapText="1"/>
    </xf>
    <xf numFmtId="0" fontId="22" fillId="7" borderId="18" xfId="4" applyFont="1" applyFill="1" applyBorder="1" applyAlignment="1">
      <alignment horizontal="left" vertical="center"/>
    </xf>
    <xf numFmtId="0" fontId="22" fillId="7" borderId="51" xfId="4" applyFont="1" applyFill="1" applyBorder="1" applyAlignment="1">
      <alignment horizontal="left" vertical="center"/>
    </xf>
  </cellXfs>
  <cellStyles count="8">
    <cellStyle name="Normal" xfId="0" builtinId="0"/>
    <cellStyle name="Normal 2" xfId="3"/>
    <cellStyle name="Normal 3" xfId="4"/>
    <cellStyle name="Porcentagem" xfId="7" builtinId="5"/>
    <cellStyle name="Porcentagem 2" xfId="5"/>
    <cellStyle name="TableStyleLight1" xfId="2"/>
    <cellStyle name="Vírgula" xfId="1" builtinId="3"/>
    <cellStyle name="Vírgula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1"/>
  <sheetViews>
    <sheetView tabSelected="1" topLeftCell="BB1" zoomScale="55" zoomScaleNormal="55" workbookViewId="0">
      <selection activeCell="BF20" sqref="BF20"/>
    </sheetView>
  </sheetViews>
  <sheetFormatPr defaultColWidth="0" defaultRowHeight="15.75"/>
  <cols>
    <col min="1" max="1" width="9.140625" style="214" customWidth="1"/>
    <col min="2" max="3" width="9.140625" style="215" customWidth="1"/>
    <col min="4" max="4" width="12.28515625" style="216" customWidth="1"/>
    <col min="5" max="64" width="31.5703125" style="215" customWidth="1"/>
    <col min="65" max="65" width="31.5703125" style="217" customWidth="1"/>
    <col min="66" max="66" width="31.5703125" style="215" customWidth="1"/>
    <col min="67" max="67" width="31.5703125" style="218" customWidth="1"/>
    <col min="68" max="69" width="17.140625" style="44" customWidth="1"/>
    <col min="70" max="70" width="9.140625" style="180" customWidth="1"/>
    <col min="71" max="1025" width="9.140625" style="180" hidden="1" customWidth="1"/>
    <col min="1026" max="16384" width="9.140625" hidden="1"/>
  </cols>
  <sheetData>
    <row r="1" spans="1:1024" s="174" customFormat="1" ht="25.5">
      <c r="A1" s="171" t="s">
        <v>134</v>
      </c>
      <c r="B1" s="172"/>
      <c r="C1" s="172"/>
      <c r="D1" s="17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</row>
    <row r="2" spans="1:1024" s="38" customFormat="1" ht="25.5">
      <c r="A2" s="35"/>
      <c r="B2" s="36"/>
      <c r="C2" s="36"/>
      <c r="D2" s="37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</row>
    <row r="3" spans="1:1024" s="38" customFormat="1" ht="20.25" hidden="1">
      <c r="A3" s="175" t="s">
        <v>82</v>
      </c>
      <c r="B3" s="176"/>
      <c r="C3" s="177"/>
      <c r="D3" s="177"/>
      <c r="E3" s="178">
        <v>0.06</v>
      </c>
      <c r="F3" s="36"/>
      <c r="G3" s="36"/>
      <c r="H3" s="36"/>
      <c r="I3" s="36"/>
      <c r="J3" s="36"/>
      <c r="K3" s="36"/>
      <c r="L3" s="36"/>
      <c r="M3" s="36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36"/>
      <c r="BK3" s="36"/>
      <c r="BL3" s="36"/>
      <c r="BM3" s="36"/>
      <c r="BN3" s="36"/>
      <c r="BO3" s="36"/>
      <c r="BP3" s="36"/>
      <c r="BQ3" s="36"/>
    </row>
    <row r="4" spans="1:1024" s="38" customFormat="1" ht="21" thickBot="1">
      <c r="A4" s="219" t="s">
        <v>78</v>
      </c>
      <c r="B4" s="220"/>
      <c r="C4" s="220"/>
      <c r="D4" s="221"/>
      <c r="E4" s="39">
        <f>IFERROR(BQ160/BP160,"")</f>
        <v>15.089219285680008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</row>
    <row r="5" spans="1:1024" s="38" customFormat="1" ht="26.25" thickBot="1">
      <c r="A5" s="35"/>
      <c r="B5" s="36"/>
      <c r="C5" s="36"/>
      <c r="D5" s="3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</row>
    <row r="6" spans="1:1024">
      <c r="A6" s="1" t="s">
        <v>0</v>
      </c>
      <c r="B6" s="2"/>
      <c r="C6" s="2"/>
      <c r="D6" s="3"/>
      <c r="E6" s="4"/>
      <c r="F6" s="5" t="s">
        <v>1</v>
      </c>
      <c r="G6" s="6"/>
      <c r="H6" s="6"/>
      <c r="I6" s="6"/>
      <c r="J6" s="6"/>
      <c r="K6" s="7"/>
      <c r="L6" s="8"/>
      <c r="M6" s="5" t="s">
        <v>2</v>
      </c>
      <c r="N6" s="2"/>
      <c r="O6" s="2"/>
      <c r="P6" s="2"/>
      <c r="Q6" s="2"/>
      <c r="R6" s="2"/>
      <c r="S6" s="2"/>
      <c r="T6" s="4"/>
      <c r="U6" s="5" t="s">
        <v>3</v>
      </c>
      <c r="V6" s="2"/>
      <c r="W6" s="2"/>
      <c r="X6" s="2"/>
      <c r="Y6" s="2"/>
      <c r="Z6" s="2"/>
      <c r="AA6" s="2"/>
      <c r="AB6" s="4"/>
      <c r="AC6" s="5" t="s">
        <v>4</v>
      </c>
      <c r="AD6" s="2"/>
      <c r="AE6" s="2"/>
      <c r="AF6" s="2"/>
      <c r="AG6" s="4"/>
      <c r="AH6" s="5" t="s">
        <v>5</v>
      </c>
      <c r="AI6" s="2"/>
      <c r="AJ6" s="2"/>
      <c r="AK6" s="2"/>
      <c r="AL6" s="2"/>
      <c r="AM6" s="4"/>
      <c r="AN6" s="1" t="s">
        <v>6</v>
      </c>
      <c r="AO6" s="2"/>
      <c r="AP6" s="2"/>
      <c r="AQ6" s="4"/>
      <c r="AR6" s="9" t="s">
        <v>7</v>
      </c>
      <c r="AS6" s="1" t="s">
        <v>8</v>
      </c>
      <c r="AT6" s="2"/>
      <c r="AU6" s="2"/>
      <c r="AV6" s="2"/>
      <c r="AW6" s="2"/>
      <c r="AX6" s="2"/>
      <c r="AY6" s="4"/>
      <c r="AZ6" s="1" t="s">
        <v>9</v>
      </c>
      <c r="BA6" s="10"/>
      <c r="BB6" s="10"/>
      <c r="BC6" s="10"/>
      <c r="BD6" s="10"/>
      <c r="BE6" s="10"/>
      <c r="BF6" s="10"/>
      <c r="BG6" s="10"/>
      <c r="BH6" s="10"/>
      <c r="BI6" s="11"/>
      <c r="BJ6" s="12" t="s">
        <v>7</v>
      </c>
      <c r="BK6" s="1" t="s">
        <v>10</v>
      </c>
      <c r="BL6" s="13"/>
      <c r="BM6" s="14"/>
      <c r="BN6" s="13"/>
      <c r="BO6" s="15"/>
      <c r="BP6" s="12" t="s">
        <v>81</v>
      </c>
      <c r="BQ6" s="12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181" customFormat="1">
      <c r="A7" s="16">
        <v>100101</v>
      </c>
      <c r="B7" s="32">
        <v>100201</v>
      </c>
      <c r="C7" s="17">
        <v>100301</v>
      </c>
      <c r="D7" s="21">
        <v>100401</v>
      </c>
      <c r="E7" s="17">
        <v>109001</v>
      </c>
      <c r="F7" s="21">
        <v>111000</v>
      </c>
      <c r="G7" s="17">
        <v>111101</v>
      </c>
      <c r="H7" s="17">
        <v>111201</v>
      </c>
      <c r="I7" s="17">
        <v>111301</v>
      </c>
      <c r="J7" s="17">
        <v>111401</v>
      </c>
      <c r="K7" s="17">
        <v>112000</v>
      </c>
      <c r="L7" s="17">
        <v>119900</v>
      </c>
      <c r="M7" s="21">
        <v>121000</v>
      </c>
      <c r="N7" s="17">
        <v>121100</v>
      </c>
      <c r="O7" s="17">
        <v>121200</v>
      </c>
      <c r="P7" s="17">
        <v>121300</v>
      </c>
      <c r="Q7" s="17">
        <v>121400</v>
      </c>
      <c r="R7" s="17">
        <v>121500</v>
      </c>
      <c r="S7" s="17">
        <v>121600</v>
      </c>
      <c r="T7" s="17">
        <v>121700</v>
      </c>
      <c r="U7" s="21">
        <v>122000</v>
      </c>
      <c r="V7" s="17">
        <v>122100</v>
      </c>
      <c r="W7" s="17">
        <v>122200</v>
      </c>
      <c r="X7" s="17">
        <v>122300</v>
      </c>
      <c r="Y7" s="17">
        <v>122400</v>
      </c>
      <c r="Z7" s="17">
        <v>122500</v>
      </c>
      <c r="AA7" s="17">
        <v>122600</v>
      </c>
      <c r="AB7" s="17">
        <v>122700</v>
      </c>
      <c r="AC7" s="21">
        <v>123000</v>
      </c>
      <c r="AD7" s="17">
        <v>123100</v>
      </c>
      <c r="AE7" s="17">
        <v>123200</v>
      </c>
      <c r="AF7" s="17">
        <v>123300</v>
      </c>
      <c r="AG7" s="17">
        <v>123400</v>
      </c>
      <c r="AH7" s="21">
        <v>124000</v>
      </c>
      <c r="AI7" s="17">
        <v>124100</v>
      </c>
      <c r="AJ7" s="17">
        <v>124200</v>
      </c>
      <c r="AK7" s="17">
        <v>124300</v>
      </c>
      <c r="AL7" s="17">
        <v>124400</v>
      </c>
      <c r="AM7" s="17">
        <v>124500</v>
      </c>
      <c r="AN7" s="18">
        <v>129000</v>
      </c>
      <c r="AO7" s="18">
        <v>130101</v>
      </c>
      <c r="AP7" s="17">
        <v>130201</v>
      </c>
      <c r="AQ7" s="17">
        <v>139901</v>
      </c>
      <c r="AR7" s="21">
        <v>190000</v>
      </c>
      <c r="AS7" s="21">
        <v>210000</v>
      </c>
      <c r="AT7" s="17">
        <v>211001</v>
      </c>
      <c r="AU7" s="17">
        <v>212001</v>
      </c>
      <c r="AV7" s="17">
        <v>213001</v>
      </c>
      <c r="AW7" s="17">
        <v>214001</v>
      </c>
      <c r="AX7" s="17">
        <v>215001</v>
      </c>
      <c r="AY7" s="17">
        <v>219901</v>
      </c>
      <c r="AZ7" s="21">
        <v>220000</v>
      </c>
      <c r="BA7" s="18">
        <v>221000</v>
      </c>
      <c r="BB7" s="18">
        <v>222000</v>
      </c>
      <c r="BC7" s="18">
        <v>223000</v>
      </c>
      <c r="BD7" s="18">
        <v>224000</v>
      </c>
      <c r="BE7" s="18">
        <v>225000</v>
      </c>
      <c r="BF7" s="18">
        <v>226000</v>
      </c>
      <c r="BG7" s="18">
        <v>227000</v>
      </c>
      <c r="BH7" s="18">
        <v>229000</v>
      </c>
      <c r="BI7" s="18">
        <v>239901</v>
      </c>
      <c r="BJ7" s="19">
        <v>240000</v>
      </c>
      <c r="BK7" s="19">
        <v>250001</v>
      </c>
      <c r="BL7" s="19">
        <v>260001</v>
      </c>
      <c r="BM7" s="20">
        <v>270001</v>
      </c>
      <c r="BN7" s="21">
        <v>280001</v>
      </c>
      <c r="BO7" s="21">
        <v>290001</v>
      </c>
      <c r="BP7" s="19">
        <v>310000</v>
      </c>
      <c r="BQ7" s="19">
        <v>320000</v>
      </c>
    </row>
    <row r="8" spans="1:1024" s="183" customFormat="1" ht="165" customHeight="1">
      <c r="A8" s="22" t="s">
        <v>11</v>
      </c>
      <c r="B8" s="33" t="s">
        <v>12</v>
      </c>
      <c r="C8" s="25" t="s">
        <v>13</v>
      </c>
      <c r="D8" s="23" t="s">
        <v>14</v>
      </c>
      <c r="E8" s="25" t="s">
        <v>15</v>
      </c>
      <c r="F8" s="26" t="s">
        <v>16</v>
      </c>
      <c r="G8" s="24" t="s">
        <v>17</v>
      </c>
      <c r="H8" s="24" t="s">
        <v>18</v>
      </c>
      <c r="I8" s="24" t="s">
        <v>19</v>
      </c>
      <c r="J8" s="24" t="s">
        <v>20</v>
      </c>
      <c r="K8" s="25" t="s">
        <v>21</v>
      </c>
      <c r="L8" s="24" t="s">
        <v>22</v>
      </c>
      <c r="M8" s="26" t="s">
        <v>23</v>
      </c>
      <c r="N8" s="24" t="s">
        <v>24</v>
      </c>
      <c r="O8" s="24" t="s">
        <v>25</v>
      </c>
      <c r="P8" s="24" t="s">
        <v>26</v>
      </c>
      <c r="Q8" s="24" t="s">
        <v>27</v>
      </c>
      <c r="R8" s="24" t="s">
        <v>28</v>
      </c>
      <c r="S8" s="24" t="s">
        <v>29</v>
      </c>
      <c r="T8" s="24" t="s">
        <v>30</v>
      </c>
      <c r="U8" s="26" t="s">
        <v>31</v>
      </c>
      <c r="V8" s="24" t="s">
        <v>32</v>
      </c>
      <c r="W8" s="24" t="s">
        <v>33</v>
      </c>
      <c r="X8" s="24" t="s">
        <v>34</v>
      </c>
      <c r="Y8" s="24" t="s">
        <v>35</v>
      </c>
      <c r="Z8" s="24" t="s">
        <v>36</v>
      </c>
      <c r="AA8" s="24" t="s">
        <v>37</v>
      </c>
      <c r="AB8" s="24" t="s">
        <v>38</v>
      </c>
      <c r="AC8" s="26" t="s">
        <v>39</v>
      </c>
      <c r="AD8" s="24" t="s">
        <v>40</v>
      </c>
      <c r="AE8" s="24" t="s">
        <v>41</v>
      </c>
      <c r="AF8" s="24" t="s">
        <v>42</v>
      </c>
      <c r="AG8" s="24" t="s">
        <v>43</v>
      </c>
      <c r="AH8" s="26" t="s">
        <v>44</v>
      </c>
      <c r="AI8" s="24" t="s">
        <v>45</v>
      </c>
      <c r="AJ8" s="24" t="s">
        <v>46</v>
      </c>
      <c r="AK8" s="24" t="s">
        <v>47</v>
      </c>
      <c r="AL8" s="24" t="s">
        <v>48</v>
      </c>
      <c r="AM8" s="24" t="s">
        <v>49</v>
      </c>
      <c r="AN8" s="25" t="s">
        <v>50</v>
      </c>
      <c r="AO8" s="24" t="s">
        <v>51</v>
      </c>
      <c r="AP8" s="24" t="s">
        <v>52</v>
      </c>
      <c r="AQ8" s="24" t="s">
        <v>53</v>
      </c>
      <c r="AR8" s="26" t="s">
        <v>54</v>
      </c>
      <c r="AS8" s="26" t="s">
        <v>55</v>
      </c>
      <c r="AT8" s="24" t="s">
        <v>56</v>
      </c>
      <c r="AU8" s="24" t="s">
        <v>57</v>
      </c>
      <c r="AV8" s="24" t="s">
        <v>58</v>
      </c>
      <c r="AW8" s="24" t="s">
        <v>59</v>
      </c>
      <c r="AX8" s="24" t="s">
        <v>60</v>
      </c>
      <c r="AY8" s="24" t="s">
        <v>61</v>
      </c>
      <c r="AZ8" s="26" t="s">
        <v>62</v>
      </c>
      <c r="BA8" s="25" t="s">
        <v>63</v>
      </c>
      <c r="BB8" s="25" t="s">
        <v>64</v>
      </c>
      <c r="BC8" s="25" t="s">
        <v>65</v>
      </c>
      <c r="BD8" s="25" t="s">
        <v>66</v>
      </c>
      <c r="BE8" s="25" t="s">
        <v>67</v>
      </c>
      <c r="BF8" s="25" t="s">
        <v>68</v>
      </c>
      <c r="BG8" s="25" t="s">
        <v>69</v>
      </c>
      <c r="BH8" s="25" t="s">
        <v>70</v>
      </c>
      <c r="BI8" s="24" t="s">
        <v>71</v>
      </c>
      <c r="BJ8" s="26" t="s">
        <v>72</v>
      </c>
      <c r="BK8" s="26" t="s">
        <v>73</v>
      </c>
      <c r="BL8" s="27" t="s">
        <v>74</v>
      </c>
      <c r="BM8" s="26" t="s">
        <v>75</v>
      </c>
      <c r="BN8" s="26" t="s">
        <v>135</v>
      </c>
      <c r="BO8" s="182" t="s">
        <v>136</v>
      </c>
      <c r="BP8" s="26" t="s">
        <v>79</v>
      </c>
      <c r="BQ8" s="26" t="s">
        <v>80</v>
      </c>
    </row>
    <row r="9" spans="1:1024">
      <c r="A9" s="184"/>
      <c r="B9" s="185"/>
      <c r="C9" s="185"/>
      <c r="D9" s="186"/>
      <c r="E9" s="187"/>
      <c r="F9" s="187"/>
      <c r="G9" s="187"/>
      <c r="H9" s="187"/>
      <c r="I9" s="187"/>
      <c r="J9" s="187"/>
      <c r="K9" s="188"/>
      <c r="L9" s="188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8"/>
      <c r="AP9" s="188"/>
      <c r="AQ9" s="188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9"/>
      <c r="BN9" s="187"/>
      <c r="BO9" s="28">
        <v>0</v>
      </c>
      <c r="BP9" s="40"/>
      <c r="BQ9" s="40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190">
        <v>1</v>
      </c>
      <c r="B10" s="34">
        <v>2019</v>
      </c>
      <c r="C10" s="29">
        <v>6</v>
      </c>
      <c r="D10" s="191">
        <f>ROUND(IF(A10=0,1,(1+C10/100)^-1),5)</f>
        <v>0.94340000000000002</v>
      </c>
      <c r="E10" s="29">
        <v>10272416.310000001</v>
      </c>
      <c r="F10" s="191">
        <f t="shared" ref="F10:F41" si="0">ROUND(SUM(G10:J10),5)</f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239946.51</v>
      </c>
      <c r="M10" s="191">
        <f t="shared" ref="M10:M73" si="1">ROUND(SUM(N10:T10),5)</f>
        <v>308083.03999999998</v>
      </c>
      <c r="N10" s="29">
        <v>183388.47</v>
      </c>
      <c r="O10" s="29">
        <v>63193.84</v>
      </c>
      <c r="P10" s="29">
        <v>0</v>
      </c>
      <c r="Q10" s="29">
        <v>16575.88</v>
      </c>
      <c r="R10" s="29">
        <v>29842</v>
      </c>
      <c r="S10" s="29">
        <v>15082.85</v>
      </c>
      <c r="T10" s="29">
        <v>0</v>
      </c>
      <c r="U10" s="191">
        <f t="shared" ref="U10:U73" si="2">ROUND(SUM(V10:AB10),5)</f>
        <v>235504.76</v>
      </c>
      <c r="V10" s="29">
        <v>140185.76999999999</v>
      </c>
      <c r="W10" s="29">
        <v>48306.61</v>
      </c>
      <c r="X10" s="29">
        <v>0</v>
      </c>
      <c r="Y10" s="29">
        <v>12670.93</v>
      </c>
      <c r="Z10" s="29">
        <v>22811.82</v>
      </c>
      <c r="AA10" s="29">
        <v>11529.63</v>
      </c>
      <c r="AB10" s="29">
        <v>0</v>
      </c>
      <c r="AC10" s="191">
        <f t="shared" ref="AC10:AC73" si="3">ROUND(SUM(AD10:AG10),5)</f>
        <v>0</v>
      </c>
      <c r="AD10" s="29">
        <v>0</v>
      </c>
      <c r="AE10" s="29">
        <v>0</v>
      </c>
      <c r="AF10" s="29">
        <v>0</v>
      </c>
      <c r="AG10" s="29">
        <v>0</v>
      </c>
      <c r="AH10" s="191">
        <f t="shared" ref="AH10:AH73" si="4">ROUND(SUM(AI10:AM10),5)</f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36969.99</v>
      </c>
      <c r="AO10" s="29">
        <v>3367514.7842919687</v>
      </c>
      <c r="AP10" s="29">
        <v>0</v>
      </c>
      <c r="AQ10" s="29">
        <v>0</v>
      </c>
      <c r="AR10" s="191">
        <f t="shared" ref="AR10:AR73" si="5">ROUND(F10+K10+L10+M10+U10+AC10+AH10+AN10+AO10+AP10+AQ10,5)</f>
        <v>4188019.0842900001</v>
      </c>
      <c r="AS10" s="191">
        <f t="shared" ref="AS10:AS73" si="6">ROUND(SUM(AT10:AY10),5)</f>
        <v>2307518.23</v>
      </c>
      <c r="AT10" s="29">
        <v>1194971.69</v>
      </c>
      <c r="AU10" s="29">
        <v>417666.69</v>
      </c>
      <c r="AV10" s="29">
        <v>0</v>
      </c>
      <c r="AW10" s="29">
        <v>192620.66</v>
      </c>
      <c r="AX10" s="29">
        <v>376071.88</v>
      </c>
      <c r="AY10" s="29">
        <v>126187.31</v>
      </c>
      <c r="AZ10" s="191">
        <f t="shared" ref="AZ10:AZ73" si="7">ROUND(SUM(BA10:BI10),5)</f>
        <v>1587716.37</v>
      </c>
      <c r="BA10" s="29">
        <v>993130.02</v>
      </c>
      <c r="BB10" s="29">
        <v>335521.59999999998</v>
      </c>
      <c r="BC10" s="29">
        <v>0</v>
      </c>
      <c r="BD10" s="29">
        <v>51885.06</v>
      </c>
      <c r="BE10" s="29">
        <v>89342.76</v>
      </c>
      <c r="BF10" s="29">
        <v>104985.87</v>
      </c>
      <c r="BG10" s="29">
        <v>0</v>
      </c>
      <c r="BH10" s="29">
        <v>12851.06</v>
      </c>
      <c r="BI10" s="29">
        <v>0</v>
      </c>
      <c r="BJ10" s="191">
        <f t="shared" ref="BJ10:BJ73" si="8">ROUND(AS10+AZ10,5)</f>
        <v>3895234.6</v>
      </c>
      <c r="BK10" s="191">
        <f t="shared" ref="BK10:BK73" si="9">ROUND(AR10-BJ10,5)</f>
        <v>292784.48428999999</v>
      </c>
      <c r="BL10" s="191">
        <f>$BO$9+SUMPRODUCT($D$10:D10,$BK$10:BK10)</f>
        <v>276212.882479186</v>
      </c>
      <c r="BM10" s="30">
        <f t="shared" ref="BM10:BM73" si="10">ROUND(C10,5)</f>
        <v>6</v>
      </c>
      <c r="BN10" s="191">
        <f>IF($A$10=0,IF(BO9+BK10&lt;0,0,ROUND(BM10/100*(BO9+BK10),5)),ROUND(BM10/100*BO9,5))</f>
        <v>0</v>
      </c>
      <c r="BO10" s="192">
        <f t="shared" ref="BO10:BO73" si="11">IF(BO9+BK10+BN10&gt;0,ROUND(BO9+BK10+BN10,5),0)</f>
        <v>292784.48428999999</v>
      </c>
      <c r="BP10" s="41">
        <f>(1/((1+$C10/100)^($A10-0.5)))*(AS10+AZ10-AY10-BH10-F10-AC10-AH10)</f>
        <v>3648340.2944386546</v>
      </c>
      <c r="BQ10" s="41">
        <f>$BP10*($A10-0.5)</f>
        <v>1824170.1472193273</v>
      </c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>
      <c r="A11" s="193">
        <f t="shared" ref="A11:B26" si="12">A10+1</f>
        <v>2</v>
      </c>
      <c r="B11" s="194">
        <f t="shared" si="12"/>
        <v>2020</v>
      </c>
      <c r="C11" s="29">
        <v>6</v>
      </c>
      <c r="D11" s="191">
        <f>ROUND((1+C11/100)^-1*D10,5)</f>
        <v>0.89</v>
      </c>
      <c r="E11" s="29">
        <v>10754585.449999999</v>
      </c>
      <c r="F11" s="191">
        <f t="shared" si="0"/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254343.36</v>
      </c>
      <c r="M11" s="191">
        <f t="shared" si="1"/>
        <v>326568.03999999998</v>
      </c>
      <c r="N11" s="29">
        <v>194391.81</v>
      </c>
      <c r="O11" s="29">
        <v>66985.460000000006</v>
      </c>
      <c r="P11" s="29">
        <v>0</v>
      </c>
      <c r="Q11" s="29">
        <v>17570.43</v>
      </c>
      <c r="R11" s="29">
        <v>31632.52</v>
      </c>
      <c r="S11" s="29">
        <v>15987.82</v>
      </c>
      <c r="T11" s="29">
        <v>0</v>
      </c>
      <c r="U11" s="191">
        <f t="shared" si="2"/>
        <v>249635.07</v>
      </c>
      <c r="V11" s="29">
        <v>148596.94</v>
      </c>
      <c r="W11" s="29">
        <v>51205.01</v>
      </c>
      <c r="X11" s="29">
        <v>0</v>
      </c>
      <c r="Y11" s="29">
        <v>13431.18</v>
      </c>
      <c r="Z11" s="29">
        <v>24180.53</v>
      </c>
      <c r="AA11" s="29">
        <v>12221.41</v>
      </c>
      <c r="AB11" s="29">
        <v>0</v>
      </c>
      <c r="AC11" s="191">
        <f t="shared" si="3"/>
        <v>0</v>
      </c>
      <c r="AD11" s="29">
        <v>0</v>
      </c>
      <c r="AE11" s="29">
        <v>0</v>
      </c>
      <c r="AF11" s="29">
        <v>0</v>
      </c>
      <c r="AG11" s="29">
        <v>0</v>
      </c>
      <c r="AH11" s="191">
        <f t="shared" si="4"/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45261.96</v>
      </c>
      <c r="AO11" s="29">
        <v>3401189.9321348881</v>
      </c>
      <c r="AP11" s="29">
        <v>0</v>
      </c>
      <c r="AQ11" s="29">
        <v>0</v>
      </c>
      <c r="AR11" s="191">
        <f t="shared" si="5"/>
        <v>4276998.3621300003</v>
      </c>
      <c r="AS11" s="191">
        <f t="shared" si="6"/>
        <v>2442152.5699999998</v>
      </c>
      <c r="AT11" s="29">
        <v>1266670.29</v>
      </c>
      <c r="AU11" s="29">
        <v>442726.81</v>
      </c>
      <c r="AV11" s="29">
        <v>0</v>
      </c>
      <c r="AW11" s="29">
        <v>204177.96</v>
      </c>
      <c r="AX11" s="29">
        <v>398636.31</v>
      </c>
      <c r="AY11" s="29">
        <v>129941.2</v>
      </c>
      <c r="AZ11" s="191">
        <f t="shared" si="7"/>
        <v>1684893.65</v>
      </c>
      <c r="BA11" s="29">
        <v>1052718.06</v>
      </c>
      <c r="BB11" s="29">
        <v>355652.96</v>
      </c>
      <c r="BC11" s="29">
        <v>0</v>
      </c>
      <c r="BD11" s="29">
        <v>54998.16</v>
      </c>
      <c r="BE11" s="29">
        <v>94703.32</v>
      </c>
      <c r="BF11" s="29">
        <v>111285.02</v>
      </c>
      <c r="BG11" s="29">
        <v>0</v>
      </c>
      <c r="BH11" s="29">
        <v>15536.13</v>
      </c>
      <c r="BI11" s="29">
        <v>0</v>
      </c>
      <c r="BJ11" s="191">
        <f t="shared" si="8"/>
        <v>4127046.22</v>
      </c>
      <c r="BK11" s="191">
        <f t="shared" si="9"/>
        <v>149952.14212999999</v>
      </c>
      <c r="BL11" s="191">
        <f>$BO$9+SUMPRODUCT($D$10:D11,$BK$10:BK11)</f>
        <v>409670.288974886</v>
      </c>
      <c r="BM11" s="30">
        <f t="shared" si="10"/>
        <v>6</v>
      </c>
      <c r="BN11" s="191">
        <f t="shared" ref="BN11:BN74" si="13">IF($A$10=0,IF(BO10+BK11&lt;0,0,ROUND(BM11/100*(BO10+BK11),5)),ROUND(BM11/100*BO10,5))</f>
        <v>17567.069060000002</v>
      </c>
      <c r="BO11" s="192">
        <f t="shared" si="11"/>
        <v>460303.69547999999</v>
      </c>
      <c r="BP11" s="41">
        <f t="shared" ref="BP11:BP74" si="14">(1/((1+$C11/100)^($A11-0.5)))*(AS11+AZ11-AY11-BH11-F11-AC11-AH11)</f>
        <v>3648341.1064702868</v>
      </c>
      <c r="BQ11" s="41">
        <f t="shared" ref="BQ11:BQ74" si="15">$BP11*($A11-0.5)</f>
        <v>5472511.6597054303</v>
      </c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>
      <c r="A12" s="193">
        <f t="shared" si="12"/>
        <v>3</v>
      </c>
      <c r="B12" s="194">
        <f t="shared" si="12"/>
        <v>2021</v>
      </c>
      <c r="C12" s="29">
        <v>6</v>
      </c>
      <c r="D12" s="191">
        <f t="shared" ref="D12:D75" si="16">ROUND((1+C12/100)^-1*D11,5)</f>
        <v>0.83962000000000003</v>
      </c>
      <c r="E12" s="29">
        <v>11004091.83</v>
      </c>
      <c r="F12" s="191">
        <f t="shared" si="0"/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269605.02</v>
      </c>
      <c r="M12" s="191">
        <f t="shared" si="1"/>
        <v>346162.73</v>
      </c>
      <c r="N12" s="29">
        <v>206055.92</v>
      </c>
      <c r="O12" s="29">
        <v>71004.59</v>
      </c>
      <c r="P12" s="29">
        <v>0</v>
      </c>
      <c r="Q12" s="29">
        <v>18624.66</v>
      </c>
      <c r="R12" s="29">
        <v>33530.47</v>
      </c>
      <c r="S12" s="29">
        <v>16947.09</v>
      </c>
      <c r="T12" s="29">
        <v>0</v>
      </c>
      <c r="U12" s="191">
        <f t="shared" si="2"/>
        <v>264613.62</v>
      </c>
      <c r="V12" s="29">
        <v>157513.21</v>
      </c>
      <c r="W12" s="29">
        <v>54277.31</v>
      </c>
      <c r="X12" s="29">
        <v>0</v>
      </c>
      <c r="Y12" s="29">
        <v>14237.05</v>
      </c>
      <c r="Z12" s="29">
        <v>25631.360000000001</v>
      </c>
      <c r="AA12" s="29">
        <v>12954.69</v>
      </c>
      <c r="AB12" s="29">
        <v>0</v>
      </c>
      <c r="AC12" s="191">
        <f t="shared" si="3"/>
        <v>0</v>
      </c>
      <c r="AD12" s="29">
        <v>0</v>
      </c>
      <c r="AE12" s="29">
        <v>0</v>
      </c>
      <c r="AF12" s="29">
        <v>0</v>
      </c>
      <c r="AG12" s="29">
        <v>0</v>
      </c>
      <c r="AH12" s="191">
        <f t="shared" si="4"/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64992.27</v>
      </c>
      <c r="AO12" s="29">
        <v>3435201.831456237</v>
      </c>
      <c r="AP12" s="29">
        <v>0</v>
      </c>
      <c r="AQ12" s="29">
        <v>0</v>
      </c>
      <c r="AR12" s="191">
        <f t="shared" si="5"/>
        <v>4380575.4714599997</v>
      </c>
      <c r="AS12" s="191">
        <f t="shared" si="6"/>
        <v>2595590.1</v>
      </c>
      <c r="AT12" s="29">
        <v>1342674.81</v>
      </c>
      <c r="AU12" s="29">
        <v>469292.54</v>
      </c>
      <c r="AV12" s="29">
        <v>0</v>
      </c>
      <c r="AW12" s="29">
        <v>216429.7</v>
      </c>
      <c r="AX12" s="29">
        <v>422556.61</v>
      </c>
      <c r="AY12" s="29">
        <v>144636.44</v>
      </c>
      <c r="AZ12" s="191">
        <f t="shared" si="7"/>
        <v>1788437.39</v>
      </c>
      <c r="BA12" s="29">
        <v>1115884.3799999999</v>
      </c>
      <c r="BB12" s="29">
        <v>376993.2</v>
      </c>
      <c r="BC12" s="29">
        <v>0</v>
      </c>
      <c r="BD12" s="29">
        <v>58298.05</v>
      </c>
      <c r="BE12" s="29">
        <v>100385.52</v>
      </c>
      <c r="BF12" s="29">
        <v>117962.12</v>
      </c>
      <c r="BG12" s="29">
        <v>0</v>
      </c>
      <c r="BH12" s="29">
        <v>18914.12</v>
      </c>
      <c r="BI12" s="29">
        <v>0</v>
      </c>
      <c r="BJ12" s="191">
        <f t="shared" si="8"/>
        <v>4384027.49</v>
      </c>
      <c r="BK12" s="191">
        <f t="shared" si="9"/>
        <v>-3452.01854</v>
      </c>
      <c r="BL12" s="191">
        <f>$BO$9+SUMPRODUCT($D$10:D12,$BK$10:BK12)</f>
        <v>406771.90516833123</v>
      </c>
      <c r="BM12" s="30">
        <f t="shared" si="10"/>
        <v>6</v>
      </c>
      <c r="BN12" s="191">
        <f t="shared" si="13"/>
        <v>27618.221730000001</v>
      </c>
      <c r="BO12" s="192">
        <f t="shared" si="11"/>
        <v>484469.89867000002</v>
      </c>
      <c r="BP12" s="41">
        <f t="shared" si="14"/>
        <v>3648353.1279049376</v>
      </c>
      <c r="BQ12" s="41">
        <f t="shared" si="15"/>
        <v>9120882.8197623435</v>
      </c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>
      <c r="A13" s="193">
        <f t="shared" si="12"/>
        <v>4</v>
      </c>
      <c r="B13" s="194">
        <f t="shared" si="12"/>
        <v>2022</v>
      </c>
      <c r="C13" s="29">
        <v>6</v>
      </c>
      <c r="D13" s="191">
        <f t="shared" si="16"/>
        <v>0.79208999999999996</v>
      </c>
      <c r="E13" s="29">
        <v>11259386.77</v>
      </c>
      <c r="F13" s="191">
        <f t="shared" si="0"/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285782.33</v>
      </c>
      <c r="M13" s="191">
        <f t="shared" si="1"/>
        <v>366934.19</v>
      </c>
      <c r="N13" s="29">
        <v>218420.41</v>
      </c>
      <c r="O13" s="29">
        <v>75265.429999999993</v>
      </c>
      <c r="P13" s="29">
        <v>0</v>
      </c>
      <c r="Q13" s="29">
        <v>19742.13</v>
      </c>
      <c r="R13" s="29">
        <v>35542.300000000003</v>
      </c>
      <c r="S13" s="29">
        <v>17963.919999999998</v>
      </c>
      <c r="T13" s="29">
        <v>0</v>
      </c>
      <c r="U13" s="191">
        <f t="shared" si="2"/>
        <v>280491.74</v>
      </c>
      <c r="V13" s="29">
        <v>166964.87</v>
      </c>
      <c r="W13" s="29">
        <v>57534.38</v>
      </c>
      <c r="X13" s="29">
        <v>0</v>
      </c>
      <c r="Y13" s="29">
        <v>15091.28</v>
      </c>
      <c r="Z13" s="29">
        <v>27169.24</v>
      </c>
      <c r="AA13" s="29">
        <v>13731.97</v>
      </c>
      <c r="AB13" s="29">
        <v>0</v>
      </c>
      <c r="AC13" s="191">
        <f t="shared" si="3"/>
        <v>0</v>
      </c>
      <c r="AD13" s="29">
        <v>0</v>
      </c>
      <c r="AE13" s="29">
        <v>0</v>
      </c>
      <c r="AF13" s="29">
        <v>0</v>
      </c>
      <c r="AG13" s="29">
        <v>0</v>
      </c>
      <c r="AH13" s="191">
        <f t="shared" si="4"/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76560.41</v>
      </c>
      <c r="AO13" s="29">
        <v>3469553.8497707993</v>
      </c>
      <c r="AP13" s="29">
        <v>0</v>
      </c>
      <c r="AQ13" s="29">
        <v>0</v>
      </c>
      <c r="AR13" s="191">
        <f t="shared" si="5"/>
        <v>4479322.5197700001</v>
      </c>
      <c r="AS13" s="191">
        <f t="shared" si="6"/>
        <v>2738565.49</v>
      </c>
      <c r="AT13" s="29">
        <v>1423243.35</v>
      </c>
      <c r="AU13" s="29">
        <v>497452.1</v>
      </c>
      <c r="AV13" s="29">
        <v>0</v>
      </c>
      <c r="AW13" s="29">
        <v>229416.48</v>
      </c>
      <c r="AX13" s="29">
        <v>447912.01</v>
      </c>
      <c r="AY13" s="29">
        <v>140541.54999999999</v>
      </c>
      <c r="AZ13" s="191">
        <f t="shared" si="7"/>
        <v>1905861.33</v>
      </c>
      <c r="BA13" s="29">
        <v>1182843.5</v>
      </c>
      <c r="BB13" s="29">
        <v>399614.79</v>
      </c>
      <c r="BC13" s="29">
        <v>0</v>
      </c>
      <c r="BD13" s="29">
        <v>61795.93</v>
      </c>
      <c r="BE13" s="29">
        <v>106408.65</v>
      </c>
      <c r="BF13" s="29">
        <v>125040.85</v>
      </c>
      <c r="BG13" s="29">
        <v>0</v>
      </c>
      <c r="BH13" s="29">
        <v>30157.61</v>
      </c>
      <c r="BI13" s="29">
        <v>0</v>
      </c>
      <c r="BJ13" s="191">
        <f t="shared" si="8"/>
        <v>4644426.82</v>
      </c>
      <c r="BK13" s="191">
        <f t="shared" si="9"/>
        <v>-165104.30022999999</v>
      </c>
      <c r="BL13" s="191">
        <f>$BO$9+SUMPRODUCT($D$10:D13,$BK$10:BK13)</f>
        <v>275994.43999915052</v>
      </c>
      <c r="BM13" s="30">
        <f t="shared" si="10"/>
        <v>6</v>
      </c>
      <c r="BN13" s="191">
        <f t="shared" si="13"/>
        <v>29068.193920000002</v>
      </c>
      <c r="BO13" s="192">
        <f t="shared" si="11"/>
        <v>348433.79236000002</v>
      </c>
      <c r="BP13" s="41">
        <f t="shared" si="14"/>
        <v>3648371.1622636849</v>
      </c>
      <c r="BQ13" s="41">
        <f t="shared" si="15"/>
        <v>12769299.067922898</v>
      </c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>
      <c r="A14" s="193">
        <f t="shared" si="12"/>
        <v>5</v>
      </c>
      <c r="B14" s="194">
        <f t="shared" si="12"/>
        <v>2023</v>
      </c>
      <c r="C14" s="29">
        <v>6</v>
      </c>
      <c r="D14" s="191">
        <f t="shared" si="16"/>
        <v>0.74724999999999997</v>
      </c>
      <c r="E14" s="29">
        <v>11520604.539999999</v>
      </c>
      <c r="F14" s="191">
        <f t="shared" si="0"/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299869.32</v>
      </c>
      <c r="M14" s="191">
        <f t="shared" si="1"/>
        <v>388952.41</v>
      </c>
      <c r="N14" s="29">
        <v>231526.7</v>
      </c>
      <c r="O14" s="29">
        <v>79781.89</v>
      </c>
      <c r="P14" s="29">
        <v>0</v>
      </c>
      <c r="Q14" s="29">
        <v>20926.66</v>
      </c>
      <c r="R14" s="29">
        <v>37675.410000000003</v>
      </c>
      <c r="S14" s="29">
        <v>19041.75</v>
      </c>
      <c r="T14" s="29">
        <v>0</v>
      </c>
      <c r="U14" s="191">
        <f t="shared" si="2"/>
        <v>297322.90000000002</v>
      </c>
      <c r="V14" s="29">
        <v>176983.58</v>
      </c>
      <c r="W14" s="29">
        <v>60986.85</v>
      </c>
      <c r="X14" s="29">
        <v>0</v>
      </c>
      <c r="Y14" s="29">
        <v>15996.76</v>
      </c>
      <c r="Z14" s="29">
        <v>28799.82</v>
      </c>
      <c r="AA14" s="29">
        <v>14555.89</v>
      </c>
      <c r="AB14" s="29">
        <v>0</v>
      </c>
      <c r="AC14" s="191">
        <f t="shared" si="3"/>
        <v>0</v>
      </c>
      <c r="AD14" s="29">
        <v>0</v>
      </c>
      <c r="AE14" s="29">
        <v>0</v>
      </c>
      <c r="AF14" s="29">
        <v>0</v>
      </c>
      <c r="AG14" s="29">
        <v>0</v>
      </c>
      <c r="AH14" s="191">
        <f t="shared" si="4"/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86751.27</v>
      </c>
      <c r="AO14" s="29">
        <v>3504249.3882685076</v>
      </c>
      <c r="AP14" s="29">
        <v>0</v>
      </c>
      <c r="AQ14" s="29">
        <v>0</v>
      </c>
      <c r="AR14" s="191">
        <f t="shared" si="5"/>
        <v>4577145.2882700004</v>
      </c>
      <c r="AS14" s="191">
        <f t="shared" si="6"/>
        <v>2863366.39</v>
      </c>
      <c r="AT14" s="29">
        <v>1508647.53</v>
      </c>
      <c r="AU14" s="29">
        <v>527303.1</v>
      </c>
      <c r="AV14" s="29">
        <v>0</v>
      </c>
      <c r="AW14" s="29">
        <v>243183.41</v>
      </c>
      <c r="AX14" s="29">
        <v>446945.2</v>
      </c>
      <c r="AY14" s="29">
        <v>137287.15</v>
      </c>
      <c r="AZ14" s="191">
        <f t="shared" si="7"/>
        <v>2025540.7</v>
      </c>
      <c r="BA14" s="29">
        <v>1253822.81</v>
      </c>
      <c r="BB14" s="29">
        <v>423594.56</v>
      </c>
      <c r="BC14" s="29">
        <v>0</v>
      </c>
      <c r="BD14" s="29">
        <v>65504.69</v>
      </c>
      <c r="BE14" s="29">
        <v>112794.17</v>
      </c>
      <c r="BF14" s="29">
        <v>132543.24</v>
      </c>
      <c r="BG14" s="29">
        <v>0</v>
      </c>
      <c r="BH14" s="29">
        <v>37281.230000000003</v>
      </c>
      <c r="BI14" s="29">
        <v>0</v>
      </c>
      <c r="BJ14" s="191">
        <f t="shared" si="8"/>
        <v>4888907.09</v>
      </c>
      <c r="BK14" s="191">
        <f t="shared" si="9"/>
        <v>-311761.80173000001</v>
      </c>
      <c r="BL14" s="191">
        <f>$BO$9+SUMPRODUCT($D$10:D14,$BK$10:BK14)</f>
        <v>43030.433656408015</v>
      </c>
      <c r="BM14" s="30">
        <f t="shared" si="10"/>
        <v>6</v>
      </c>
      <c r="BN14" s="191">
        <f t="shared" si="13"/>
        <v>20906.027539999999</v>
      </c>
      <c r="BO14" s="192">
        <f t="shared" si="11"/>
        <v>57578.018170000003</v>
      </c>
      <c r="BP14" s="41">
        <f t="shared" si="14"/>
        <v>3626973.5484016915</v>
      </c>
      <c r="BQ14" s="41">
        <f t="shared" si="15"/>
        <v>16321380.967807611</v>
      </c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>
      <c r="A15" s="193">
        <f t="shared" si="12"/>
        <v>6</v>
      </c>
      <c r="B15" s="194">
        <f t="shared" si="12"/>
        <v>2024</v>
      </c>
      <c r="C15" s="29">
        <v>6</v>
      </c>
      <c r="D15" s="191">
        <f t="shared" si="16"/>
        <v>0.70494999999999997</v>
      </c>
      <c r="E15" s="29">
        <v>11787882.560000001</v>
      </c>
      <c r="F15" s="191">
        <f t="shared" si="0"/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317862.23</v>
      </c>
      <c r="M15" s="191">
        <f t="shared" si="1"/>
        <v>412291.59</v>
      </c>
      <c r="N15" s="29">
        <v>245419.3</v>
      </c>
      <c r="O15" s="29">
        <v>84568.74</v>
      </c>
      <c r="P15" s="29">
        <v>0</v>
      </c>
      <c r="Q15" s="29">
        <v>22182.83</v>
      </c>
      <c r="R15" s="29">
        <v>39935.9</v>
      </c>
      <c r="S15" s="29">
        <v>20184.82</v>
      </c>
      <c r="T15" s="29">
        <v>0</v>
      </c>
      <c r="U15" s="191">
        <f t="shared" si="2"/>
        <v>315163.82</v>
      </c>
      <c r="V15" s="29">
        <v>187603.35</v>
      </c>
      <c r="W15" s="29">
        <v>64646.01</v>
      </c>
      <c r="X15" s="29">
        <v>0</v>
      </c>
      <c r="Y15" s="29">
        <v>16956.990000000002</v>
      </c>
      <c r="Z15" s="29">
        <v>30527.79</v>
      </c>
      <c r="AA15" s="29">
        <v>15429.68</v>
      </c>
      <c r="AB15" s="29">
        <v>0</v>
      </c>
      <c r="AC15" s="191">
        <f t="shared" si="3"/>
        <v>0</v>
      </c>
      <c r="AD15" s="29">
        <v>0</v>
      </c>
      <c r="AE15" s="29">
        <v>0</v>
      </c>
      <c r="AF15" s="29">
        <v>0</v>
      </c>
      <c r="AG15" s="29">
        <v>0</v>
      </c>
      <c r="AH15" s="191">
        <f t="shared" si="4"/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107287.26</v>
      </c>
      <c r="AO15" s="29">
        <v>3539291.882151193</v>
      </c>
      <c r="AP15" s="29">
        <v>0</v>
      </c>
      <c r="AQ15" s="29">
        <v>0</v>
      </c>
      <c r="AR15" s="191">
        <f t="shared" si="5"/>
        <v>4691896.7821500003</v>
      </c>
      <c r="AS15" s="191">
        <f t="shared" si="6"/>
        <v>3053461.02</v>
      </c>
      <c r="AT15" s="29">
        <v>1599172.37</v>
      </c>
      <c r="AU15" s="29">
        <v>558942.93000000005</v>
      </c>
      <c r="AV15" s="29">
        <v>0</v>
      </c>
      <c r="AW15" s="29">
        <v>257775.23</v>
      </c>
      <c r="AX15" s="29">
        <v>473763.61</v>
      </c>
      <c r="AY15" s="29">
        <v>163806.88</v>
      </c>
      <c r="AZ15" s="191">
        <f t="shared" si="7"/>
        <v>2155476.46</v>
      </c>
      <c r="BA15" s="29">
        <v>1329057.3400000001</v>
      </c>
      <c r="BB15" s="29">
        <v>449011.93</v>
      </c>
      <c r="BC15" s="29">
        <v>0</v>
      </c>
      <c r="BD15" s="29">
        <v>69434.91</v>
      </c>
      <c r="BE15" s="29">
        <v>119562.76</v>
      </c>
      <c r="BF15" s="29">
        <v>140496.76999999999</v>
      </c>
      <c r="BG15" s="29">
        <v>0</v>
      </c>
      <c r="BH15" s="29">
        <v>47912.75</v>
      </c>
      <c r="BI15" s="29">
        <v>0</v>
      </c>
      <c r="BJ15" s="191">
        <f t="shared" si="8"/>
        <v>5208937.4800000004</v>
      </c>
      <c r="BK15" s="191">
        <f t="shared" si="9"/>
        <v>-517040.69785</v>
      </c>
      <c r="BL15" s="191">
        <f>$BO$9+SUMPRODUCT($D$10:D15,$BK$10:BK15)</f>
        <v>-321457.40629294945</v>
      </c>
      <c r="BM15" s="30">
        <f t="shared" si="10"/>
        <v>6</v>
      </c>
      <c r="BN15" s="191">
        <f t="shared" si="13"/>
        <v>3454.68109</v>
      </c>
      <c r="BO15" s="192">
        <f t="shared" si="11"/>
        <v>0</v>
      </c>
      <c r="BP15" s="41">
        <f t="shared" si="14"/>
        <v>3626987.2060950533</v>
      </c>
      <c r="BQ15" s="41">
        <f t="shared" si="15"/>
        <v>19948429.633522794</v>
      </c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>
      <c r="A16" s="193">
        <f t="shared" si="12"/>
        <v>7</v>
      </c>
      <c r="B16" s="194">
        <f t="shared" si="12"/>
        <v>2025</v>
      </c>
      <c r="C16" s="29">
        <v>6</v>
      </c>
      <c r="D16" s="191">
        <f t="shared" si="16"/>
        <v>0.66505000000000003</v>
      </c>
      <c r="E16" s="29">
        <v>12061361.439999999</v>
      </c>
      <c r="F16" s="191">
        <f t="shared" si="0"/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336932.67</v>
      </c>
      <c r="M16" s="191">
        <f t="shared" si="1"/>
        <v>437027</v>
      </c>
      <c r="N16" s="29">
        <v>260143.68</v>
      </c>
      <c r="O16" s="29">
        <v>89642.79</v>
      </c>
      <c r="P16" s="29">
        <v>0</v>
      </c>
      <c r="Q16" s="29">
        <v>23513.200000000001</v>
      </c>
      <c r="R16" s="29">
        <v>42332.02</v>
      </c>
      <c r="S16" s="29">
        <v>21395.31</v>
      </c>
      <c r="T16" s="29">
        <v>0</v>
      </c>
      <c r="U16" s="191">
        <f t="shared" si="2"/>
        <v>334072.07</v>
      </c>
      <c r="V16" s="29">
        <v>198858.97</v>
      </c>
      <c r="W16" s="29">
        <v>68524.72</v>
      </c>
      <c r="X16" s="29">
        <v>0</v>
      </c>
      <c r="Y16" s="29">
        <v>17973.95</v>
      </c>
      <c r="Z16" s="29">
        <v>32359.43</v>
      </c>
      <c r="AA16" s="29">
        <v>16355</v>
      </c>
      <c r="AB16" s="29">
        <v>0</v>
      </c>
      <c r="AC16" s="191">
        <f t="shared" si="3"/>
        <v>0</v>
      </c>
      <c r="AD16" s="29">
        <v>0</v>
      </c>
      <c r="AE16" s="29">
        <v>0</v>
      </c>
      <c r="AF16" s="29">
        <v>0</v>
      </c>
      <c r="AG16" s="29">
        <v>0</v>
      </c>
      <c r="AH16" s="191">
        <f t="shared" si="4"/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126381.23</v>
      </c>
      <c r="AO16" s="29">
        <v>3574684.8009727043</v>
      </c>
      <c r="AP16" s="29">
        <v>0</v>
      </c>
      <c r="AQ16" s="29">
        <v>0</v>
      </c>
      <c r="AR16" s="191">
        <f t="shared" si="5"/>
        <v>4809097.77097</v>
      </c>
      <c r="AS16" s="191">
        <f t="shared" si="6"/>
        <v>3218322.74</v>
      </c>
      <c r="AT16" s="29">
        <v>1695115.27</v>
      </c>
      <c r="AU16" s="29">
        <v>592477.02</v>
      </c>
      <c r="AV16" s="29">
        <v>0</v>
      </c>
      <c r="AW16" s="29">
        <v>273240.51</v>
      </c>
      <c r="AX16" s="29">
        <v>502187.01</v>
      </c>
      <c r="AY16" s="29">
        <v>155302.93</v>
      </c>
      <c r="AZ16" s="191">
        <f t="shared" si="7"/>
        <v>2313616.0299999998</v>
      </c>
      <c r="BA16" s="29">
        <v>1408794.58</v>
      </c>
      <c r="BB16" s="29">
        <v>475950.22</v>
      </c>
      <c r="BC16" s="29">
        <v>0</v>
      </c>
      <c r="BD16" s="29">
        <v>73600.94</v>
      </c>
      <c r="BE16" s="29">
        <v>126735.41</v>
      </c>
      <c r="BF16" s="29">
        <v>148926.46</v>
      </c>
      <c r="BG16" s="29">
        <v>0</v>
      </c>
      <c r="BH16" s="29">
        <v>79608.42</v>
      </c>
      <c r="BI16" s="29">
        <v>0</v>
      </c>
      <c r="BJ16" s="191">
        <f t="shared" si="8"/>
        <v>5531938.7699999996</v>
      </c>
      <c r="BK16" s="191">
        <f t="shared" si="9"/>
        <v>-722840.99902999995</v>
      </c>
      <c r="BL16" s="191">
        <f>$BO$9+SUMPRODUCT($D$10:D16,$BK$10:BK16)</f>
        <v>-802182.81269785087</v>
      </c>
      <c r="BM16" s="30">
        <f t="shared" si="10"/>
        <v>6</v>
      </c>
      <c r="BN16" s="191">
        <f t="shared" si="13"/>
        <v>0</v>
      </c>
      <c r="BO16" s="192">
        <f t="shared" si="11"/>
        <v>0</v>
      </c>
      <c r="BP16" s="41">
        <f t="shared" si="14"/>
        <v>3626971.1145324828</v>
      </c>
      <c r="BQ16" s="41">
        <f t="shared" si="15"/>
        <v>23575312.244461138</v>
      </c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>
      <c r="A17" s="193">
        <f t="shared" si="12"/>
        <v>8</v>
      </c>
      <c r="B17" s="194">
        <f t="shared" si="12"/>
        <v>2026</v>
      </c>
      <c r="C17" s="29">
        <v>6</v>
      </c>
      <c r="D17" s="191">
        <f t="shared" si="16"/>
        <v>0.62741000000000002</v>
      </c>
      <c r="E17" s="29">
        <v>12341185.02</v>
      </c>
      <c r="F17" s="191">
        <f t="shared" si="0"/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350069.19</v>
      </c>
      <c r="M17" s="191">
        <f t="shared" si="1"/>
        <v>463245.52</v>
      </c>
      <c r="N17" s="29">
        <v>275750.44</v>
      </c>
      <c r="O17" s="29">
        <v>95020.72</v>
      </c>
      <c r="P17" s="29">
        <v>0</v>
      </c>
      <c r="Q17" s="29">
        <v>24923.99</v>
      </c>
      <c r="R17" s="29">
        <v>44871.34</v>
      </c>
      <c r="S17" s="29">
        <v>22679.03</v>
      </c>
      <c r="T17" s="29">
        <v>0</v>
      </c>
      <c r="U17" s="191">
        <f t="shared" si="2"/>
        <v>354114.01</v>
      </c>
      <c r="V17" s="29">
        <v>210789.07</v>
      </c>
      <c r="W17" s="29">
        <v>72635.72</v>
      </c>
      <c r="X17" s="29">
        <v>0</v>
      </c>
      <c r="Y17" s="29">
        <v>19052.39</v>
      </c>
      <c r="Z17" s="29">
        <v>34300.53</v>
      </c>
      <c r="AA17" s="29">
        <v>17336.3</v>
      </c>
      <c r="AB17" s="29">
        <v>0</v>
      </c>
      <c r="AC17" s="191">
        <f t="shared" si="3"/>
        <v>0</v>
      </c>
      <c r="AD17" s="29">
        <v>0</v>
      </c>
      <c r="AE17" s="29">
        <v>0</v>
      </c>
      <c r="AF17" s="29">
        <v>0</v>
      </c>
      <c r="AG17" s="29">
        <v>0</v>
      </c>
      <c r="AH17" s="191">
        <f t="shared" si="4"/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144056.82999999999</v>
      </c>
      <c r="AO17" s="29">
        <v>3610431.6489824317</v>
      </c>
      <c r="AP17" s="29">
        <v>0</v>
      </c>
      <c r="AQ17" s="29">
        <v>0</v>
      </c>
      <c r="AR17" s="191">
        <f t="shared" si="5"/>
        <v>4921917.1989799999</v>
      </c>
      <c r="AS17" s="191">
        <f t="shared" si="6"/>
        <v>3346977.73</v>
      </c>
      <c r="AT17" s="29">
        <v>1779727.08</v>
      </c>
      <c r="AU17" s="29">
        <v>628021.28</v>
      </c>
      <c r="AV17" s="29">
        <v>0</v>
      </c>
      <c r="AW17" s="29">
        <v>289632.76</v>
      </c>
      <c r="AX17" s="29">
        <v>485068.89</v>
      </c>
      <c r="AY17" s="29">
        <v>164527.72</v>
      </c>
      <c r="AZ17" s="191">
        <f t="shared" si="7"/>
        <v>2483066.81</v>
      </c>
      <c r="BA17" s="29">
        <v>1493312.36</v>
      </c>
      <c r="BB17" s="29">
        <v>504503.94</v>
      </c>
      <c r="BC17" s="29">
        <v>0</v>
      </c>
      <c r="BD17" s="29">
        <v>78015.94</v>
      </c>
      <c r="BE17" s="29">
        <v>134339.47</v>
      </c>
      <c r="BF17" s="29">
        <v>157860.93</v>
      </c>
      <c r="BG17" s="29">
        <v>0</v>
      </c>
      <c r="BH17" s="29">
        <v>115034.17</v>
      </c>
      <c r="BI17" s="29">
        <v>0</v>
      </c>
      <c r="BJ17" s="191">
        <f t="shared" si="8"/>
        <v>5830044.54</v>
      </c>
      <c r="BK17" s="191">
        <f t="shared" si="9"/>
        <v>-908127.34102000005</v>
      </c>
      <c r="BL17" s="191">
        <f>$BO$9+SUMPRODUCT($D$10:D17,$BK$10:BK17)</f>
        <v>-1371950.987727209</v>
      </c>
      <c r="BM17" s="30">
        <f t="shared" si="10"/>
        <v>6</v>
      </c>
      <c r="BN17" s="191">
        <f t="shared" si="13"/>
        <v>0</v>
      </c>
      <c r="BO17" s="192">
        <f t="shared" si="11"/>
        <v>0</v>
      </c>
      <c r="BP17" s="41">
        <f t="shared" si="14"/>
        <v>3585392.9481444801</v>
      </c>
      <c r="BQ17" s="41">
        <f t="shared" si="15"/>
        <v>26890447.111083601</v>
      </c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>
      <c r="A18" s="193">
        <f t="shared" si="12"/>
        <v>9</v>
      </c>
      <c r="B18" s="194">
        <f t="shared" si="12"/>
        <v>2027</v>
      </c>
      <c r="C18" s="29">
        <v>6</v>
      </c>
      <c r="D18" s="191">
        <f t="shared" si="16"/>
        <v>0.59189999999999998</v>
      </c>
      <c r="E18" s="29">
        <v>12627500.52</v>
      </c>
      <c r="F18" s="191">
        <f t="shared" si="0"/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369039.53</v>
      </c>
      <c r="M18" s="191">
        <f t="shared" si="1"/>
        <v>491037.88</v>
      </c>
      <c r="N18" s="29">
        <v>292293.69</v>
      </c>
      <c r="O18" s="29">
        <v>100721.37</v>
      </c>
      <c r="P18" s="29">
        <v>0</v>
      </c>
      <c r="Q18" s="29">
        <v>26419.43</v>
      </c>
      <c r="R18" s="29">
        <v>47563.62</v>
      </c>
      <c r="S18" s="29">
        <v>24039.77</v>
      </c>
      <c r="T18" s="29">
        <v>0</v>
      </c>
      <c r="U18" s="191">
        <f t="shared" si="2"/>
        <v>375359.05</v>
      </c>
      <c r="V18" s="29">
        <v>223435.07</v>
      </c>
      <c r="W18" s="29">
        <v>76993.399999999994</v>
      </c>
      <c r="X18" s="29">
        <v>0</v>
      </c>
      <c r="Y18" s="29">
        <v>20195.53</v>
      </c>
      <c r="Z18" s="29">
        <v>36358.57</v>
      </c>
      <c r="AA18" s="29">
        <v>18376.48</v>
      </c>
      <c r="AB18" s="29">
        <v>0</v>
      </c>
      <c r="AC18" s="191">
        <f t="shared" si="3"/>
        <v>0</v>
      </c>
      <c r="AD18" s="29">
        <v>0</v>
      </c>
      <c r="AE18" s="29">
        <v>0</v>
      </c>
      <c r="AF18" s="29">
        <v>0</v>
      </c>
      <c r="AG18" s="29">
        <v>0</v>
      </c>
      <c r="AH18" s="191">
        <f t="shared" si="4"/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155406.04999999999</v>
      </c>
      <c r="AO18" s="29">
        <v>3646535.9654722568</v>
      </c>
      <c r="AP18" s="29">
        <v>0</v>
      </c>
      <c r="AQ18" s="29">
        <v>0</v>
      </c>
      <c r="AR18" s="191">
        <f t="shared" si="5"/>
        <v>5037378.4754699999</v>
      </c>
      <c r="AS18" s="191">
        <f t="shared" si="6"/>
        <v>3515581.3</v>
      </c>
      <c r="AT18" s="29">
        <v>1868027.86</v>
      </c>
      <c r="AU18" s="29">
        <v>665698.43999999994</v>
      </c>
      <c r="AV18" s="29">
        <v>0</v>
      </c>
      <c r="AW18" s="29">
        <v>307008.65999999997</v>
      </c>
      <c r="AX18" s="29">
        <v>514169.9</v>
      </c>
      <c r="AY18" s="29">
        <v>160676.44</v>
      </c>
      <c r="AZ18" s="191">
        <f t="shared" si="7"/>
        <v>2662801.1</v>
      </c>
      <c r="BA18" s="29">
        <v>1582900.74</v>
      </c>
      <c r="BB18" s="29">
        <v>534771.05000000005</v>
      </c>
      <c r="BC18" s="29">
        <v>0</v>
      </c>
      <c r="BD18" s="29">
        <v>82696.899999999994</v>
      </c>
      <c r="BE18" s="29">
        <v>142398.78</v>
      </c>
      <c r="BF18" s="29">
        <v>167331.51999999999</v>
      </c>
      <c r="BG18" s="29">
        <v>0</v>
      </c>
      <c r="BH18" s="29">
        <v>152702.10999999999</v>
      </c>
      <c r="BI18" s="29">
        <v>0</v>
      </c>
      <c r="BJ18" s="191">
        <f t="shared" si="8"/>
        <v>6178382.4000000004</v>
      </c>
      <c r="BK18" s="191">
        <f t="shared" si="9"/>
        <v>-1141003.92453</v>
      </c>
      <c r="BL18" s="191">
        <f>$BO$9+SUMPRODUCT($D$10:D18,$BK$10:BK18)</f>
        <v>-2047311.2106565158</v>
      </c>
      <c r="BM18" s="30">
        <f t="shared" si="10"/>
        <v>6</v>
      </c>
      <c r="BN18" s="191">
        <f t="shared" si="13"/>
        <v>0</v>
      </c>
      <c r="BO18" s="192">
        <f t="shared" si="11"/>
        <v>0</v>
      </c>
      <c r="BP18" s="41">
        <f t="shared" si="14"/>
        <v>3574114.3796611531</v>
      </c>
      <c r="BQ18" s="41">
        <f t="shared" si="15"/>
        <v>30379972.2271198</v>
      </c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>
      <c r="A19" s="193">
        <f t="shared" si="12"/>
        <v>10</v>
      </c>
      <c r="B19" s="194">
        <f t="shared" si="12"/>
        <v>2028</v>
      </c>
      <c r="C19" s="29">
        <v>6</v>
      </c>
      <c r="D19" s="191">
        <f t="shared" si="16"/>
        <v>0.55840000000000001</v>
      </c>
      <c r="E19" s="29">
        <v>12920458.529999999</v>
      </c>
      <c r="F19" s="191">
        <f t="shared" si="0"/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387349.51</v>
      </c>
      <c r="M19" s="191">
        <f t="shared" si="1"/>
        <v>520496.21</v>
      </c>
      <c r="N19" s="29">
        <v>309829.08</v>
      </c>
      <c r="O19" s="29">
        <v>106763.51</v>
      </c>
      <c r="P19" s="29">
        <v>0</v>
      </c>
      <c r="Q19" s="29">
        <v>28004.59</v>
      </c>
      <c r="R19" s="29">
        <v>50416.87</v>
      </c>
      <c r="S19" s="29">
        <v>25482.16</v>
      </c>
      <c r="T19" s="29">
        <v>0</v>
      </c>
      <c r="U19" s="191">
        <f t="shared" si="2"/>
        <v>397877.6</v>
      </c>
      <c r="V19" s="29">
        <v>236839.47</v>
      </c>
      <c r="W19" s="29">
        <v>81612.14</v>
      </c>
      <c r="X19" s="29">
        <v>0</v>
      </c>
      <c r="Y19" s="29">
        <v>21407.27</v>
      </c>
      <c r="Z19" s="29">
        <v>38539.65</v>
      </c>
      <c r="AA19" s="29">
        <v>19479.07</v>
      </c>
      <c r="AB19" s="29">
        <v>0</v>
      </c>
      <c r="AC19" s="191">
        <f t="shared" si="3"/>
        <v>0</v>
      </c>
      <c r="AD19" s="29">
        <v>0</v>
      </c>
      <c r="AE19" s="29">
        <v>0</v>
      </c>
      <c r="AF19" s="29">
        <v>0</v>
      </c>
      <c r="AG19" s="29">
        <v>0</v>
      </c>
      <c r="AH19" s="191">
        <f t="shared" si="4"/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169804.99</v>
      </c>
      <c r="AO19" s="29">
        <v>3683001.3251269795</v>
      </c>
      <c r="AP19" s="29">
        <v>0</v>
      </c>
      <c r="AQ19" s="29">
        <v>0</v>
      </c>
      <c r="AR19" s="191">
        <f t="shared" si="5"/>
        <v>5158529.6351300003</v>
      </c>
      <c r="AS19" s="191">
        <f t="shared" si="6"/>
        <v>3688491.99</v>
      </c>
      <c r="AT19" s="29">
        <v>1980095.84</v>
      </c>
      <c r="AU19" s="29">
        <v>705635.47</v>
      </c>
      <c r="AV19" s="29">
        <v>0</v>
      </c>
      <c r="AW19" s="29">
        <v>306910.84999999998</v>
      </c>
      <c r="AX19" s="29">
        <v>528719.30000000005</v>
      </c>
      <c r="AY19" s="29">
        <v>167130.53</v>
      </c>
      <c r="AZ19" s="191">
        <f t="shared" si="7"/>
        <v>2832196.49</v>
      </c>
      <c r="BA19" s="29">
        <v>1677863.02</v>
      </c>
      <c r="BB19" s="29">
        <v>566853.38</v>
      </c>
      <c r="BC19" s="29">
        <v>0</v>
      </c>
      <c r="BD19" s="29">
        <v>87657.71</v>
      </c>
      <c r="BE19" s="29">
        <v>150941.70000000001</v>
      </c>
      <c r="BF19" s="29">
        <v>177369.41</v>
      </c>
      <c r="BG19" s="29">
        <v>0</v>
      </c>
      <c r="BH19" s="29">
        <v>171511.27</v>
      </c>
      <c r="BI19" s="29">
        <v>0</v>
      </c>
      <c r="BJ19" s="191">
        <f t="shared" si="8"/>
        <v>6520688.4800000004</v>
      </c>
      <c r="BK19" s="191">
        <f t="shared" si="9"/>
        <v>-1362158.8448699999</v>
      </c>
      <c r="BL19" s="191">
        <f>$BO$9+SUMPRODUCT($D$10:D19,$BK$10:BK19)</f>
        <v>-2807940.7096319236</v>
      </c>
      <c r="BM19" s="30">
        <f t="shared" si="10"/>
        <v>6</v>
      </c>
      <c r="BN19" s="191">
        <f t="shared" si="13"/>
        <v>0</v>
      </c>
      <c r="BO19" s="192">
        <f t="shared" si="11"/>
        <v>0</v>
      </c>
      <c r="BP19" s="41">
        <f t="shared" si="14"/>
        <v>3554074.7688631569</v>
      </c>
      <c r="BQ19" s="41">
        <f t="shared" si="15"/>
        <v>33763710.304199994</v>
      </c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>
      <c r="A20" s="193">
        <f t="shared" si="12"/>
        <v>11</v>
      </c>
      <c r="B20" s="194">
        <f t="shared" si="12"/>
        <v>2029</v>
      </c>
      <c r="C20" s="29">
        <v>6</v>
      </c>
      <c r="D20" s="191">
        <f t="shared" si="16"/>
        <v>0.52678999999999998</v>
      </c>
      <c r="E20" s="29">
        <v>13220213.17</v>
      </c>
      <c r="F20" s="191">
        <f t="shared" si="0"/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382384.85</v>
      </c>
      <c r="M20" s="191">
        <f t="shared" si="1"/>
        <v>551728.53</v>
      </c>
      <c r="N20" s="29">
        <v>328420.13</v>
      </c>
      <c r="O20" s="29">
        <v>113169.96</v>
      </c>
      <c r="P20" s="29">
        <v>0</v>
      </c>
      <c r="Q20" s="29">
        <v>29684.87</v>
      </c>
      <c r="R20" s="29">
        <v>53442.48</v>
      </c>
      <c r="S20" s="29">
        <v>27011.09</v>
      </c>
      <c r="T20" s="29">
        <v>0</v>
      </c>
      <c r="U20" s="191">
        <f t="shared" si="2"/>
        <v>421752.18</v>
      </c>
      <c r="V20" s="29">
        <v>251050.83</v>
      </c>
      <c r="W20" s="29">
        <v>86509.35</v>
      </c>
      <c r="X20" s="29">
        <v>0</v>
      </c>
      <c r="Y20" s="29">
        <v>22691.7</v>
      </c>
      <c r="Z20" s="29">
        <v>40852.49</v>
      </c>
      <c r="AA20" s="29">
        <v>20647.810000000001</v>
      </c>
      <c r="AB20" s="29">
        <v>0</v>
      </c>
      <c r="AC20" s="191">
        <f t="shared" si="3"/>
        <v>0</v>
      </c>
      <c r="AD20" s="29">
        <v>0</v>
      </c>
      <c r="AE20" s="29">
        <v>0</v>
      </c>
      <c r="AF20" s="29">
        <v>0</v>
      </c>
      <c r="AG20" s="29">
        <v>0</v>
      </c>
      <c r="AH20" s="191">
        <f t="shared" si="4"/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185324.02</v>
      </c>
      <c r="AO20" s="29">
        <v>3719831.3383782483</v>
      </c>
      <c r="AP20" s="29">
        <v>0</v>
      </c>
      <c r="AQ20" s="29">
        <v>0</v>
      </c>
      <c r="AR20" s="191">
        <f t="shared" si="5"/>
        <v>5261020.9183799997</v>
      </c>
      <c r="AS20" s="191">
        <f t="shared" si="6"/>
        <v>3643366.78</v>
      </c>
      <c r="AT20" s="29">
        <v>1937218.54</v>
      </c>
      <c r="AU20" s="29">
        <v>718432.93</v>
      </c>
      <c r="AV20" s="29">
        <v>0</v>
      </c>
      <c r="AW20" s="29">
        <v>301695.95</v>
      </c>
      <c r="AX20" s="29">
        <v>518881.61</v>
      </c>
      <c r="AY20" s="29">
        <v>167137.75</v>
      </c>
      <c r="AZ20" s="191">
        <f t="shared" si="7"/>
        <v>3016622.6</v>
      </c>
      <c r="BA20" s="29">
        <v>1778543.76</v>
      </c>
      <c r="BB20" s="29">
        <v>600866.88</v>
      </c>
      <c r="BC20" s="29">
        <v>0</v>
      </c>
      <c r="BD20" s="29">
        <v>92918.23</v>
      </c>
      <c r="BE20" s="29">
        <v>159998.26999999999</v>
      </c>
      <c r="BF20" s="29">
        <v>188012.7</v>
      </c>
      <c r="BG20" s="29">
        <v>0</v>
      </c>
      <c r="BH20" s="29">
        <v>196282.76</v>
      </c>
      <c r="BI20" s="29">
        <v>0</v>
      </c>
      <c r="BJ20" s="191">
        <f t="shared" si="8"/>
        <v>6659989.3799999999</v>
      </c>
      <c r="BK20" s="191">
        <f t="shared" si="9"/>
        <v>-1398968.46162</v>
      </c>
      <c r="BL20" s="191">
        <f>$BO$9+SUMPRODUCT($D$10:D20,$BK$10:BK20)</f>
        <v>-3544903.3055287232</v>
      </c>
      <c r="BM20" s="30">
        <f t="shared" si="10"/>
        <v>6</v>
      </c>
      <c r="BN20" s="191">
        <f t="shared" si="13"/>
        <v>0</v>
      </c>
      <c r="BO20" s="192">
        <f t="shared" si="11"/>
        <v>0</v>
      </c>
      <c r="BP20" s="41">
        <f t="shared" si="14"/>
        <v>3415013.0893855756</v>
      </c>
      <c r="BQ20" s="41">
        <f t="shared" si="15"/>
        <v>35857637.438548543</v>
      </c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>
      <c r="A21" s="193">
        <f t="shared" si="12"/>
        <v>12</v>
      </c>
      <c r="B21" s="194">
        <f t="shared" si="12"/>
        <v>2030</v>
      </c>
      <c r="C21" s="29">
        <v>6</v>
      </c>
      <c r="D21" s="191">
        <f t="shared" si="16"/>
        <v>0.49697000000000002</v>
      </c>
      <c r="E21" s="29">
        <v>13526922.109999999</v>
      </c>
      <c r="F21" s="191">
        <f t="shared" si="0"/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384427.72</v>
      </c>
      <c r="M21" s="191">
        <f t="shared" si="1"/>
        <v>584834.07999999996</v>
      </c>
      <c r="N21" s="29">
        <v>348126.58</v>
      </c>
      <c r="O21" s="29">
        <v>119960.76</v>
      </c>
      <c r="P21" s="29">
        <v>0</v>
      </c>
      <c r="Q21" s="29">
        <v>31465.96</v>
      </c>
      <c r="R21" s="29">
        <v>56649.03</v>
      </c>
      <c r="S21" s="29">
        <v>28631.75</v>
      </c>
      <c r="T21" s="29">
        <v>0</v>
      </c>
      <c r="U21" s="191">
        <f t="shared" si="2"/>
        <v>447058.7</v>
      </c>
      <c r="V21" s="29">
        <v>266114.82</v>
      </c>
      <c r="W21" s="29">
        <v>91700.37</v>
      </c>
      <c r="X21" s="29">
        <v>0</v>
      </c>
      <c r="Y21" s="29">
        <v>24053.200000000001</v>
      </c>
      <c r="Z21" s="29">
        <v>43303.63</v>
      </c>
      <c r="AA21" s="29">
        <v>21886.68</v>
      </c>
      <c r="AB21" s="29">
        <v>0</v>
      </c>
      <c r="AC21" s="191">
        <f t="shared" si="3"/>
        <v>0</v>
      </c>
      <c r="AD21" s="29">
        <v>0</v>
      </c>
      <c r="AE21" s="29">
        <v>0</v>
      </c>
      <c r="AF21" s="29">
        <v>0</v>
      </c>
      <c r="AG21" s="29">
        <v>0</v>
      </c>
      <c r="AH21" s="191">
        <f t="shared" si="4"/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208730.15</v>
      </c>
      <c r="AO21" s="29">
        <v>3757029.6517620306</v>
      </c>
      <c r="AP21" s="29">
        <v>0</v>
      </c>
      <c r="AQ21" s="29">
        <v>0</v>
      </c>
      <c r="AR21" s="191">
        <f t="shared" si="5"/>
        <v>5382080.3017600002</v>
      </c>
      <c r="AS21" s="191">
        <f t="shared" si="6"/>
        <v>3669526.23</v>
      </c>
      <c r="AT21" s="29">
        <v>1937006.69</v>
      </c>
      <c r="AU21" s="29">
        <v>730905.85</v>
      </c>
      <c r="AV21" s="29">
        <v>0</v>
      </c>
      <c r="AW21" s="29">
        <v>319798.77</v>
      </c>
      <c r="AX21" s="29">
        <v>507082.02</v>
      </c>
      <c r="AY21" s="29">
        <v>174732.9</v>
      </c>
      <c r="AZ21" s="191">
        <f t="shared" si="7"/>
        <v>3219468.16</v>
      </c>
      <c r="BA21" s="29">
        <v>1885262.87</v>
      </c>
      <c r="BB21" s="29">
        <v>636921.06999999995</v>
      </c>
      <c r="BC21" s="29">
        <v>0</v>
      </c>
      <c r="BD21" s="29">
        <v>98493.33</v>
      </c>
      <c r="BE21" s="29">
        <v>169599.22</v>
      </c>
      <c r="BF21" s="29">
        <v>199294.52</v>
      </c>
      <c r="BG21" s="29">
        <v>0</v>
      </c>
      <c r="BH21" s="29">
        <v>229897.15</v>
      </c>
      <c r="BI21" s="29">
        <v>0</v>
      </c>
      <c r="BJ21" s="191">
        <f t="shared" si="8"/>
        <v>6888994.3899999997</v>
      </c>
      <c r="BK21" s="191">
        <f t="shared" si="9"/>
        <v>-1506914.08824</v>
      </c>
      <c r="BL21" s="191">
        <f>$BO$9+SUMPRODUCT($D$10:D21,$BK$10:BK21)</f>
        <v>-4293794.3999613561</v>
      </c>
      <c r="BM21" s="30">
        <f t="shared" si="10"/>
        <v>6</v>
      </c>
      <c r="BN21" s="191">
        <f t="shared" si="13"/>
        <v>0</v>
      </c>
      <c r="BO21" s="192">
        <f t="shared" si="11"/>
        <v>0</v>
      </c>
      <c r="BP21" s="41">
        <f t="shared" si="14"/>
        <v>3317798.1314690099</v>
      </c>
      <c r="BQ21" s="41">
        <f t="shared" si="15"/>
        <v>38154678.511893615</v>
      </c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>
      <c r="A22" s="193">
        <f t="shared" si="12"/>
        <v>13</v>
      </c>
      <c r="B22" s="194">
        <f t="shared" si="12"/>
        <v>2031</v>
      </c>
      <c r="C22" s="29">
        <v>6</v>
      </c>
      <c r="D22" s="191">
        <f t="shared" si="16"/>
        <v>0.46883999999999998</v>
      </c>
      <c r="E22" s="29">
        <v>13840746.710000001</v>
      </c>
      <c r="F22" s="191">
        <f t="shared" si="0"/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398131.51</v>
      </c>
      <c r="M22" s="191">
        <f t="shared" si="1"/>
        <v>619924.16</v>
      </c>
      <c r="N22" s="29">
        <v>369014.2</v>
      </c>
      <c r="O22" s="29">
        <v>127158.41</v>
      </c>
      <c r="P22" s="29">
        <v>0</v>
      </c>
      <c r="Q22" s="29">
        <v>33353.919999999998</v>
      </c>
      <c r="R22" s="29">
        <v>60047.97</v>
      </c>
      <c r="S22" s="29">
        <v>30349.66</v>
      </c>
      <c r="T22" s="29">
        <v>0</v>
      </c>
      <c r="U22" s="191">
        <f t="shared" si="2"/>
        <v>473882.25</v>
      </c>
      <c r="V22" s="29">
        <v>282081.74</v>
      </c>
      <c r="W22" s="29">
        <v>97202.39</v>
      </c>
      <c r="X22" s="29">
        <v>0</v>
      </c>
      <c r="Y22" s="29">
        <v>25496.39</v>
      </c>
      <c r="Z22" s="29">
        <v>45901.85</v>
      </c>
      <c r="AA22" s="29">
        <v>23199.88</v>
      </c>
      <c r="AB22" s="29">
        <v>0</v>
      </c>
      <c r="AC22" s="191">
        <f t="shared" si="3"/>
        <v>0</v>
      </c>
      <c r="AD22" s="29">
        <v>0</v>
      </c>
      <c r="AE22" s="29">
        <v>0</v>
      </c>
      <c r="AF22" s="29">
        <v>0</v>
      </c>
      <c r="AG22" s="29">
        <v>0</v>
      </c>
      <c r="AH22" s="191">
        <f t="shared" si="4"/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233308.11</v>
      </c>
      <c r="AO22" s="29">
        <v>3794599.9482796513</v>
      </c>
      <c r="AP22" s="29">
        <v>0</v>
      </c>
      <c r="AQ22" s="29">
        <v>0</v>
      </c>
      <c r="AR22" s="191">
        <f t="shared" si="5"/>
        <v>5519845.9782800004</v>
      </c>
      <c r="AS22" s="191">
        <f t="shared" si="6"/>
        <v>3789927.43</v>
      </c>
      <c r="AT22" s="29">
        <v>2000051.3</v>
      </c>
      <c r="AU22" s="29">
        <v>774759.26</v>
      </c>
      <c r="AV22" s="29">
        <v>0</v>
      </c>
      <c r="AW22" s="29">
        <v>307060.84000000003</v>
      </c>
      <c r="AX22" s="29">
        <v>537507</v>
      </c>
      <c r="AY22" s="29">
        <v>170549.03</v>
      </c>
      <c r="AZ22" s="191">
        <f t="shared" si="7"/>
        <v>3423240.25</v>
      </c>
      <c r="BA22" s="29">
        <v>1998376.76</v>
      </c>
      <c r="BB22" s="29">
        <v>675136.39</v>
      </c>
      <c r="BC22" s="29">
        <v>0</v>
      </c>
      <c r="BD22" s="29">
        <v>104402.92</v>
      </c>
      <c r="BE22" s="29">
        <v>179775.18</v>
      </c>
      <c r="BF22" s="29">
        <v>211252.19</v>
      </c>
      <c r="BG22" s="29">
        <v>0</v>
      </c>
      <c r="BH22" s="29">
        <v>254296.81</v>
      </c>
      <c r="BI22" s="29">
        <v>0</v>
      </c>
      <c r="BJ22" s="191">
        <f t="shared" si="8"/>
        <v>7213167.6799999997</v>
      </c>
      <c r="BK22" s="191">
        <f t="shared" si="9"/>
        <v>-1693321.70172</v>
      </c>
      <c r="BL22" s="191">
        <f>$BO$9+SUMPRODUCT($D$10:D22,$BK$10:BK22)</f>
        <v>-5087691.3465957604</v>
      </c>
      <c r="BM22" s="30">
        <f t="shared" si="10"/>
        <v>6</v>
      </c>
      <c r="BN22" s="191">
        <f t="shared" si="13"/>
        <v>0</v>
      </c>
      <c r="BO22" s="192">
        <f t="shared" si="11"/>
        <v>0</v>
      </c>
      <c r="BP22" s="41">
        <f t="shared" si="14"/>
        <v>3276718.3148415247</v>
      </c>
      <c r="BQ22" s="41">
        <f t="shared" si="15"/>
        <v>40958978.935519062</v>
      </c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193">
        <f t="shared" si="12"/>
        <v>14</v>
      </c>
      <c r="B23" s="194">
        <f t="shared" si="12"/>
        <v>2032</v>
      </c>
      <c r="C23" s="29">
        <v>6</v>
      </c>
      <c r="D23" s="191">
        <f t="shared" si="16"/>
        <v>0.44230000000000003</v>
      </c>
      <c r="E23" s="29">
        <v>14136120.98</v>
      </c>
      <c r="F23" s="191">
        <f t="shared" si="0"/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384218.72</v>
      </c>
      <c r="M23" s="191">
        <f t="shared" si="1"/>
        <v>656636.11</v>
      </c>
      <c r="N23" s="29">
        <v>390753.1</v>
      </c>
      <c r="O23" s="29">
        <v>134788.48000000001</v>
      </c>
      <c r="P23" s="29">
        <v>0</v>
      </c>
      <c r="Q23" s="29">
        <v>35345.230000000003</v>
      </c>
      <c r="R23" s="29">
        <v>63640.78</v>
      </c>
      <c r="S23" s="29">
        <v>32108.52</v>
      </c>
      <c r="T23" s="29">
        <v>0</v>
      </c>
      <c r="U23" s="191">
        <f t="shared" si="2"/>
        <v>501945.59</v>
      </c>
      <c r="V23" s="29">
        <v>298699.38</v>
      </c>
      <c r="W23" s="29">
        <v>103034.97</v>
      </c>
      <c r="X23" s="29">
        <v>0</v>
      </c>
      <c r="Y23" s="29">
        <v>27018.59</v>
      </c>
      <c r="Z23" s="29">
        <v>48648.26</v>
      </c>
      <c r="AA23" s="29">
        <v>24544.39</v>
      </c>
      <c r="AB23" s="29">
        <v>0</v>
      </c>
      <c r="AC23" s="191">
        <f t="shared" si="3"/>
        <v>0</v>
      </c>
      <c r="AD23" s="29">
        <v>0</v>
      </c>
      <c r="AE23" s="29">
        <v>0</v>
      </c>
      <c r="AF23" s="29">
        <v>0</v>
      </c>
      <c r="AG23" s="29">
        <v>0</v>
      </c>
      <c r="AH23" s="191">
        <f t="shared" si="4"/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262476.2</v>
      </c>
      <c r="AO23" s="29">
        <v>3832545.9477624483</v>
      </c>
      <c r="AP23" s="29">
        <v>0</v>
      </c>
      <c r="AQ23" s="29">
        <v>0</v>
      </c>
      <c r="AR23" s="191">
        <f t="shared" si="5"/>
        <v>5637822.56776</v>
      </c>
      <c r="AS23" s="191">
        <f t="shared" si="6"/>
        <v>3668624.24</v>
      </c>
      <c r="AT23" s="29">
        <v>1981927.09</v>
      </c>
      <c r="AU23" s="29">
        <v>730429.34</v>
      </c>
      <c r="AV23" s="29">
        <v>0</v>
      </c>
      <c r="AW23" s="29">
        <v>295493.37</v>
      </c>
      <c r="AX23" s="29">
        <v>485046.51</v>
      </c>
      <c r="AY23" s="29">
        <v>175727.93</v>
      </c>
      <c r="AZ23" s="191">
        <f t="shared" si="7"/>
        <v>3618344.84</v>
      </c>
      <c r="BA23" s="29">
        <v>2093359</v>
      </c>
      <c r="BB23" s="29">
        <v>715647.64</v>
      </c>
      <c r="BC23" s="29">
        <v>0</v>
      </c>
      <c r="BD23" s="29">
        <v>110054.04</v>
      </c>
      <c r="BE23" s="29">
        <v>189939.74</v>
      </c>
      <c r="BF23" s="29">
        <v>220091.42</v>
      </c>
      <c r="BG23" s="29">
        <v>0</v>
      </c>
      <c r="BH23" s="29">
        <v>289253</v>
      </c>
      <c r="BI23" s="29">
        <v>0</v>
      </c>
      <c r="BJ23" s="191">
        <f t="shared" si="8"/>
        <v>7286969.0800000001</v>
      </c>
      <c r="BK23" s="191">
        <f t="shared" si="9"/>
        <v>-1649146.5122400001</v>
      </c>
      <c r="BL23" s="191">
        <f>$BO$9+SUMPRODUCT($D$10:D23,$BK$10:BK23)</f>
        <v>-5817108.848959513</v>
      </c>
      <c r="BM23" s="30">
        <f t="shared" si="10"/>
        <v>6</v>
      </c>
      <c r="BN23" s="191">
        <f t="shared" si="13"/>
        <v>0</v>
      </c>
      <c r="BO23" s="192">
        <f t="shared" si="11"/>
        <v>0</v>
      </c>
      <c r="BP23" s="41">
        <f t="shared" si="14"/>
        <v>3106574.5468678852</v>
      </c>
      <c r="BQ23" s="41">
        <f t="shared" si="15"/>
        <v>41938756.382716447</v>
      </c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>
      <c r="A24" s="193">
        <f t="shared" si="12"/>
        <v>15</v>
      </c>
      <c r="B24" s="194">
        <f t="shared" si="12"/>
        <v>2033</v>
      </c>
      <c r="C24" s="29">
        <v>6</v>
      </c>
      <c r="D24" s="191">
        <f t="shared" si="16"/>
        <v>0.41726000000000002</v>
      </c>
      <c r="E24" s="29">
        <v>14464078.98</v>
      </c>
      <c r="F24" s="191">
        <f t="shared" si="0"/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392211.02</v>
      </c>
      <c r="M24" s="191">
        <f t="shared" si="1"/>
        <v>696040.97</v>
      </c>
      <c r="N24" s="29">
        <v>414202.19</v>
      </c>
      <c r="O24" s="29">
        <v>142876.88</v>
      </c>
      <c r="P24" s="29">
        <v>0</v>
      </c>
      <c r="Q24" s="29">
        <v>37466.51</v>
      </c>
      <c r="R24" s="29">
        <v>67459.789999999994</v>
      </c>
      <c r="S24" s="29">
        <v>34035.599999999999</v>
      </c>
      <c r="T24" s="29">
        <v>0</v>
      </c>
      <c r="U24" s="191">
        <f t="shared" si="2"/>
        <v>532067.46</v>
      </c>
      <c r="V24" s="29">
        <v>316624.32</v>
      </c>
      <c r="W24" s="29">
        <v>109217.91</v>
      </c>
      <c r="X24" s="29">
        <v>0</v>
      </c>
      <c r="Y24" s="29">
        <v>28640.14</v>
      </c>
      <c r="Z24" s="29">
        <v>51567.6</v>
      </c>
      <c r="AA24" s="29">
        <v>26017.49</v>
      </c>
      <c r="AB24" s="29">
        <v>0</v>
      </c>
      <c r="AC24" s="191">
        <f t="shared" si="3"/>
        <v>0</v>
      </c>
      <c r="AD24" s="29">
        <v>0</v>
      </c>
      <c r="AE24" s="29">
        <v>0</v>
      </c>
      <c r="AF24" s="29">
        <v>0</v>
      </c>
      <c r="AG24" s="29">
        <v>0</v>
      </c>
      <c r="AH24" s="191">
        <f t="shared" si="4"/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290277.65999999997</v>
      </c>
      <c r="AO24" s="29">
        <v>3870871.4072400718</v>
      </c>
      <c r="AP24" s="29">
        <v>0</v>
      </c>
      <c r="AQ24" s="29">
        <v>0</v>
      </c>
      <c r="AR24" s="191">
        <f t="shared" si="5"/>
        <v>5781468.51724</v>
      </c>
      <c r="AS24" s="191">
        <f t="shared" si="6"/>
        <v>3720691.27</v>
      </c>
      <c r="AT24" s="29">
        <v>2045536.58</v>
      </c>
      <c r="AU24" s="29">
        <v>716954.26</v>
      </c>
      <c r="AV24" s="29">
        <v>0</v>
      </c>
      <c r="AW24" s="29">
        <v>288908.15000000002</v>
      </c>
      <c r="AX24" s="29">
        <v>514154.23999999999</v>
      </c>
      <c r="AY24" s="29">
        <v>155138.04</v>
      </c>
      <c r="AZ24" s="191">
        <f t="shared" si="7"/>
        <v>3854061.44</v>
      </c>
      <c r="BA24" s="29">
        <v>2218982.2400000002</v>
      </c>
      <c r="BB24" s="29">
        <v>758593.37</v>
      </c>
      <c r="BC24" s="29">
        <v>0</v>
      </c>
      <c r="BD24" s="29">
        <v>116658.28</v>
      </c>
      <c r="BE24" s="29">
        <v>201338.12</v>
      </c>
      <c r="BF24" s="29">
        <v>233299.9</v>
      </c>
      <c r="BG24" s="29">
        <v>0</v>
      </c>
      <c r="BH24" s="29">
        <v>325189.53000000003</v>
      </c>
      <c r="BI24" s="29">
        <v>0</v>
      </c>
      <c r="BJ24" s="191">
        <f t="shared" si="8"/>
        <v>7574752.71</v>
      </c>
      <c r="BK24" s="191">
        <f t="shared" si="9"/>
        <v>-1793284.19276</v>
      </c>
      <c r="BL24" s="191">
        <f>$BO$9+SUMPRODUCT($D$10:D24,$BK$10:BK24)</f>
        <v>-6565374.6112305503</v>
      </c>
      <c r="BM24" s="30">
        <f t="shared" si="10"/>
        <v>6</v>
      </c>
      <c r="BN24" s="191">
        <f t="shared" si="13"/>
        <v>0</v>
      </c>
      <c r="BO24" s="192">
        <f t="shared" si="11"/>
        <v>0</v>
      </c>
      <c r="BP24" s="41">
        <f t="shared" si="14"/>
        <v>3047769.819012342</v>
      </c>
      <c r="BQ24" s="41">
        <f t="shared" si="15"/>
        <v>44192662.375678957</v>
      </c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>
      <c r="A25" s="193">
        <f t="shared" si="12"/>
        <v>16</v>
      </c>
      <c r="B25" s="194">
        <f t="shared" si="12"/>
        <v>2034</v>
      </c>
      <c r="C25" s="29">
        <v>6</v>
      </c>
      <c r="D25" s="191">
        <f t="shared" si="16"/>
        <v>0.39363999999999999</v>
      </c>
      <c r="E25" s="29">
        <v>14760962.779999999</v>
      </c>
      <c r="F25" s="191">
        <f t="shared" si="0"/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398666.13</v>
      </c>
      <c r="M25" s="191">
        <f t="shared" si="1"/>
        <v>737042.56</v>
      </c>
      <c r="N25" s="29">
        <v>438412.58</v>
      </c>
      <c r="O25" s="29">
        <v>151449.96</v>
      </c>
      <c r="P25" s="29">
        <v>0</v>
      </c>
      <c r="Q25" s="29">
        <v>39705.08</v>
      </c>
      <c r="R25" s="29">
        <v>71497.100000000006</v>
      </c>
      <c r="S25" s="29">
        <v>35977.839999999997</v>
      </c>
      <c r="T25" s="29">
        <v>0</v>
      </c>
      <c r="U25" s="191">
        <f t="shared" si="2"/>
        <v>563409.86</v>
      </c>
      <c r="V25" s="29">
        <v>335131.21999999997</v>
      </c>
      <c r="W25" s="29">
        <v>115771.34</v>
      </c>
      <c r="X25" s="29">
        <v>0</v>
      </c>
      <c r="Y25" s="29">
        <v>30351.34</v>
      </c>
      <c r="Z25" s="29">
        <v>54653.79</v>
      </c>
      <c r="AA25" s="29">
        <v>27502.17</v>
      </c>
      <c r="AB25" s="29">
        <v>0</v>
      </c>
      <c r="AC25" s="191">
        <f t="shared" si="3"/>
        <v>0</v>
      </c>
      <c r="AD25" s="29">
        <v>0</v>
      </c>
      <c r="AE25" s="29">
        <v>0</v>
      </c>
      <c r="AF25" s="29">
        <v>0</v>
      </c>
      <c r="AG25" s="29">
        <v>0</v>
      </c>
      <c r="AH25" s="191">
        <f t="shared" si="4"/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320437.06</v>
      </c>
      <c r="AO25" s="29">
        <v>3909580.1213124739</v>
      </c>
      <c r="AP25" s="29">
        <v>0</v>
      </c>
      <c r="AQ25" s="29">
        <v>0</v>
      </c>
      <c r="AR25" s="191">
        <f t="shared" si="5"/>
        <v>5929135.7313099997</v>
      </c>
      <c r="AS25" s="191">
        <f t="shared" si="6"/>
        <v>3779276.09</v>
      </c>
      <c r="AT25" s="29">
        <v>2036865.88</v>
      </c>
      <c r="AU25" s="29">
        <v>759973.97</v>
      </c>
      <c r="AV25" s="29">
        <v>0</v>
      </c>
      <c r="AW25" s="29">
        <v>282395.95</v>
      </c>
      <c r="AX25" s="29">
        <v>545006.13</v>
      </c>
      <c r="AY25" s="29">
        <v>155034.16</v>
      </c>
      <c r="AZ25" s="191">
        <f t="shared" si="7"/>
        <v>4049438.75</v>
      </c>
      <c r="BA25" s="29">
        <v>2312413</v>
      </c>
      <c r="BB25" s="29">
        <v>804112.44</v>
      </c>
      <c r="BC25" s="29">
        <v>0</v>
      </c>
      <c r="BD25" s="29">
        <v>123079.01</v>
      </c>
      <c r="BE25" s="29">
        <v>212751.52</v>
      </c>
      <c r="BF25" s="29">
        <v>241131.65</v>
      </c>
      <c r="BG25" s="29">
        <v>0</v>
      </c>
      <c r="BH25" s="29">
        <v>355951.13</v>
      </c>
      <c r="BI25" s="29">
        <v>0</v>
      </c>
      <c r="BJ25" s="191">
        <f t="shared" si="8"/>
        <v>7828714.8399999999</v>
      </c>
      <c r="BK25" s="191">
        <f t="shared" si="9"/>
        <v>-1899579.1086899999</v>
      </c>
      <c r="BL25" s="191">
        <f>$BO$9+SUMPRODUCT($D$10:D25,$BK$10:BK25)</f>
        <v>-7313124.9315752815</v>
      </c>
      <c r="BM25" s="30">
        <f t="shared" si="10"/>
        <v>6</v>
      </c>
      <c r="BN25" s="191">
        <f t="shared" si="13"/>
        <v>0</v>
      </c>
      <c r="BO25" s="192">
        <f t="shared" si="11"/>
        <v>0</v>
      </c>
      <c r="BP25" s="41">
        <f t="shared" si="14"/>
        <v>2965756.1735548987</v>
      </c>
      <c r="BQ25" s="41">
        <f t="shared" si="15"/>
        <v>45969220.690100931</v>
      </c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193">
        <f t="shared" si="12"/>
        <v>17</v>
      </c>
      <c r="B26" s="194">
        <f t="shared" si="12"/>
        <v>2035</v>
      </c>
      <c r="C26" s="29">
        <v>6</v>
      </c>
      <c r="D26" s="191">
        <f t="shared" si="16"/>
        <v>0.37136000000000002</v>
      </c>
      <c r="E26" s="29">
        <v>15038214.98</v>
      </c>
      <c r="F26" s="191">
        <f t="shared" si="0"/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410456.68</v>
      </c>
      <c r="M26" s="191">
        <f t="shared" si="1"/>
        <v>781262.73</v>
      </c>
      <c r="N26" s="29">
        <v>464715.79</v>
      </c>
      <c r="O26" s="29">
        <v>160536.26</v>
      </c>
      <c r="P26" s="29">
        <v>0</v>
      </c>
      <c r="Q26" s="29">
        <v>42087.35</v>
      </c>
      <c r="R26" s="29">
        <v>75786.850000000006</v>
      </c>
      <c r="S26" s="29">
        <v>38136.480000000003</v>
      </c>
      <c r="T26" s="29">
        <v>0</v>
      </c>
      <c r="U26" s="191">
        <f t="shared" si="2"/>
        <v>597212.64</v>
      </c>
      <c r="V26" s="29">
        <v>355237.92</v>
      </c>
      <c r="W26" s="29">
        <v>122717.08</v>
      </c>
      <c r="X26" s="29">
        <v>0</v>
      </c>
      <c r="Y26" s="29">
        <v>32172.400000000001</v>
      </c>
      <c r="Z26" s="29">
        <v>57932.97</v>
      </c>
      <c r="AA26" s="29">
        <v>29152.27</v>
      </c>
      <c r="AB26" s="29">
        <v>0</v>
      </c>
      <c r="AC26" s="191">
        <f t="shared" si="3"/>
        <v>0</v>
      </c>
      <c r="AD26" s="29">
        <v>0</v>
      </c>
      <c r="AE26" s="29">
        <v>0</v>
      </c>
      <c r="AF26" s="29">
        <v>0</v>
      </c>
      <c r="AG26" s="29">
        <v>0</v>
      </c>
      <c r="AH26" s="191">
        <f t="shared" si="4"/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369136.53</v>
      </c>
      <c r="AO26" s="29">
        <v>3948675.9225255987</v>
      </c>
      <c r="AP26" s="29">
        <v>0</v>
      </c>
      <c r="AQ26" s="29">
        <v>0</v>
      </c>
      <c r="AR26" s="191">
        <f t="shared" si="5"/>
        <v>6106744.5025300002</v>
      </c>
      <c r="AS26" s="191">
        <f t="shared" si="6"/>
        <v>3889128.05</v>
      </c>
      <c r="AT26" s="29">
        <v>2159068.85</v>
      </c>
      <c r="AU26" s="29">
        <v>737270.68</v>
      </c>
      <c r="AV26" s="29">
        <v>0</v>
      </c>
      <c r="AW26" s="29">
        <v>299338.40999999997</v>
      </c>
      <c r="AX26" s="29">
        <v>535745.81999999995</v>
      </c>
      <c r="AY26" s="29">
        <v>157704.29</v>
      </c>
      <c r="AZ26" s="191">
        <f t="shared" si="7"/>
        <v>4211086.53</v>
      </c>
      <c r="BA26" s="29">
        <v>2374427.7400000002</v>
      </c>
      <c r="BB26" s="29">
        <v>852355.4</v>
      </c>
      <c r="BC26" s="29">
        <v>0</v>
      </c>
      <c r="BD26" s="29">
        <v>130463.63</v>
      </c>
      <c r="BE26" s="29">
        <v>225516.43</v>
      </c>
      <c r="BF26" s="29">
        <v>243992.69</v>
      </c>
      <c r="BG26" s="29">
        <v>0</v>
      </c>
      <c r="BH26" s="29">
        <v>384330.64</v>
      </c>
      <c r="BI26" s="29">
        <v>0</v>
      </c>
      <c r="BJ26" s="191">
        <f t="shared" si="8"/>
        <v>8100214.5800000001</v>
      </c>
      <c r="BK26" s="191">
        <f t="shared" si="9"/>
        <v>-1993470.0774699999</v>
      </c>
      <c r="BL26" s="191">
        <f>$BO$9+SUMPRODUCT($D$10:D26,$BK$10:BK26)</f>
        <v>-8053419.9795445409</v>
      </c>
      <c r="BM26" s="30">
        <f t="shared" si="10"/>
        <v>6</v>
      </c>
      <c r="BN26" s="191">
        <f t="shared" si="13"/>
        <v>0</v>
      </c>
      <c r="BO26" s="192">
        <f t="shared" si="11"/>
        <v>0</v>
      </c>
      <c r="BP26" s="41">
        <f t="shared" si="14"/>
        <v>2889817.6120483582</v>
      </c>
      <c r="BQ26" s="41">
        <f t="shared" si="15"/>
        <v>47681990.59879791</v>
      </c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193">
        <f t="shared" ref="A27:B42" si="17">A26+1</f>
        <v>18</v>
      </c>
      <c r="B27" s="194">
        <f t="shared" si="17"/>
        <v>2036</v>
      </c>
      <c r="C27" s="29">
        <v>6</v>
      </c>
      <c r="D27" s="191">
        <f t="shared" si="16"/>
        <v>0.35033999999999998</v>
      </c>
      <c r="E27" s="29">
        <v>15357959.689999999</v>
      </c>
      <c r="F27" s="191">
        <f t="shared" si="0"/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410361.72</v>
      </c>
      <c r="M27" s="191">
        <f t="shared" si="1"/>
        <v>827552.45</v>
      </c>
      <c r="N27" s="29">
        <v>492098.45</v>
      </c>
      <c r="O27" s="29">
        <v>170168.33</v>
      </c>
      <c r="P27" s="29">
        <v>0</v>
      </c>
      <c r="Q27" s="29">
        <v>44607.58</v>
      </c>
      <c r="R27" s="29">
        <v>80327.67</v>
      </c>
      <c r="S27" s="29">
        <v>40350.42</v>
      </c>
      <c r="T27" s="29">
        <v>0</v>
      </c>
      <c r="U27" s="191">
        <f t="shared" si="2"/>
        <v>632597.41</v>
      </c>
      <c r="V27" s="29">
        <v>376169.76</v>
      </c>
      <c r="W27" s="29">
        <v>130080.03</v>
      </c>
      <c r="X27" s="29">
        <v>0</v>
      </c>
      <c r="Y27" s="29">
        <v>34098.92</v>
      </c>
      <c r="Z27" s="29">
        <v>61404.05</v>
      </c>
      <c r="AA27" s="29">
        <v>30844.65</v>
      </c>
      <c r="AB27" s="29">
        <v>0</v>
      </c>
      <c r="AC27" s="191">
        <f t="shared" si="3"/>
        <v>0</v>
      </c>
      <c r="AD27" s="29">
        <v>0</v>
      </c>
      <c r="AE27" s="29">
        <v>0</v>
      </c>
      <c r="AF27" s="29">
        <v>0</v>
      </c>
      <c r="AG27" s="29">
        <v>0</v>
      </c>
      <c r="AH27" s="191">
        <f t="shared" si="4"/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403453.96</v>
      </c>
      <c r="AO27" s="29">
        <v>3988162.6817508545</v>
      </c>
      <c r="AP27" s="29">
        <v>0</v>
      </c>
      <c r="AQ27" s="29">
        <v>0</v>
      </c>
      <c r="AR27" s="191">
        <f t="shared" si="5"/>
        <v>6262128.2217499996</v>
      </c>
      <c r="AS27" s="191">
        <f t="shared" si="6"/>
        <v>3871565.28</v>
      </c>
      <c r="AT27" s="29">
        <v>2158124.85</v>
      </c>
      <c r="AU27" s="29">
        <v>743230</v>
      </c>
      <c r="AV27" s="29">
        <v>0</v>
      </c>
      <c r="AW27" s="29">
        <v>317297.46999999997</v>
      </c>
      <c r="AX27" s="29">
        <v>511903.21</v>
      </c>
      <c r="AY27" s="29">
        <v>141009.75</v>
      </c>
      <c r="AZ27" s="191">
        <f t="shared" si="7"/>
        <v>4434928.29</v>
      </c>
      <c r="BA27" s="29">
        <v>2486051.19</v>
      </c>
      <c r="BB27" s="29">
        <v>903496.13</v>
      </c>
      <c r="BC27" s="29">
        <v>0</v>
      </c>
      <c r="BD27" s="29">
        <v>137983.29</v>
      </c>
      <c r="BE27" s="29">
        <v>238656.18</v>
      </c>
      <c r="BF27" s="29">
        <v>254048.88</v>
      </c>
      <c r="BG27" s="29">
        <v>0</v>
      </c>
      <c r="BH27" s="29">
        <v>414692.62</v>
      </c>
      <c r="BI27" s="29">
        <v>0</v>
      </c>
      <c r="BJ27" s="191">
        <f t="shared" si="8"/>
        <v>8306493.5700000003</v>
      </c>
      <c r="BK27" s="191">
        <f t="shared" si="9"/>
        <v>-2044365.34825</v>
      </c>
      <c r="BL27" s="191">
        <f>$BO$9+SUMPRODUCT($D$10:D27,$BK$10:BK27)</f>
        <v>-8769642.9356504455</v>
      </c>
      <c r="BM27" s="30">
        <f t="shared" si="10"/>
        <v>6</v>
      </c>
      <c r="BN27" s="191">
        <f t="shared" si="13"/>
        <v>0</v>
      </c>
      <c r="BO27" s="192">
        <f t="shared" si="11"/>
        <v>0</v>
      </c>
      <c r="BP27" s="41">
        <f t="shared" si="14"/>
        <v>2795718.2107733232</v>
      </c>
      <c r="BQ27" s="41">
        <f t="shared" si="15"/>
        <v>48925068.688533157</v>
      </c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>
      <c r="A28" s="193">
        <f t="shared" si="17"/>
        <v>19</v>
      </c>
      <c r="B28" s="194">
        <f t="shared" si="17"/>
        <v>2037</v>
      </c>
      <c r="C28" s="29">
        <v>6</v>
      </c>
      <c r="D28" s="191">
        <f t="shared" si="16"/>
        <v>0.33051000000000003</v>
      </c>
      <c r="E28" s="29">
        <v>15611094.279999999</v>
      </c>
      <c r="F28" s="191">
        <f t="shared" si="0"/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388195.76</v>
      </c>
      <c r="M28" s="191">
        <f t="shared" si="1"/>
        <v>873558.47</v>
      </c>
      <c r="N28" s="29">
        <v>518662.24</v>
      </c>
      <c r="O28" s="29">
        <v>180378.33</v>
      </c>
      <c r="P28" s="29">
        <v>0</v>
      </c>
      <c r="Q28" s="29">
        <v>47172.03</v>
      </c>
      <c r="R28" s="29">
        <v>84999.99</v>
      </c>
      <c r="S28" s="29">
        <v>42345.88</v>
      </c>
      <c r="T28" s="29">
        <v>0</v>
      </c>
      <c r="U28" s="191">
        <f t="shared" si="2"/>
        <v>667765.32999999996</v>
      </c>
      <c r="V28" s="29">
        <v>396475.66</v>
      </c>
      <c r="W28" s="29">
        <v>137884.75</v>
      </c>
      <c r="X28" s="29">
        <v>0</v>
      </c>
      <c r="Y28" s="29">
        <v>36059.230000000003</v>
      </c>
      <c r="Z28" s="29">
        <v>64975.67</v>
      </c>
      <c r="AA28" s="29">
        <v>32370.02</v>
      </c>
      <c r="AB28" s="29">
        <v>0</v>
      </c>
      <c r="AC28" s="191">
        <f t="shared" si="3"/>
        <v>0</v>
      </c>
      <c r="AD28" s="29">
        <v>0</v>
      </c>
      <c r="AE28" s="29">
        <v>0</v>
      </c>
      <c r="AF28" s="29">
        <v>0</v>
      </c>
      <c r="AG28" s="29">
        <v>0</v>
      </c>
      <c r="AH28" s="191">
        <f t="shared" si="4"/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462613.29</v>
      </c>
      <c r="AO28" s="29">
        <v>4028044.3085683621</v>
      </c>
      <c r="AP28" s="29">
        <v>0</v>
      </c>
      <c r="AQ28" s="29">
        <v>0</v>
      </c>
      <c r="AR28" s="191">
        <f t="shared" si="5"/>
        <v>6420177.15857</v>
      </c>
      <c r="AS28" s="191">
        <f t="shared" si="6"/>
        <v>3670288.01</v>
      </c>
      <c r="AT28" s="29">
        <v>1964736.91</v>
      </c>
      <c r="AU28" s="29">
        <v>787822.32</v>
      </c>
      <c r="AV28" s="29">
        <v>0</v>
      </c>
      <c r="AW28" s="29">
        <v>314906.55</v>
      </c>
      <c r="AX28" s="29">
        <v>461591.21</v>
      </c>
      <c r="AY28" s="29">
        <v>141231.01999999999</v>
      </c>
      <c r="AZ28" s="191">
        <f t="shared" si="7"/>
        <v>4596697.2300000004</v>
      </c>
      <c r="BA28" s="29">
        <v>2540451.87</v>
      </c>
      <c r="BB28" s="29">
        <v>957704.29</v>
      </c>
      <c r="BC28" s="29">
        <v>0</v>
      </c>
      <c r="BD28" s="29">
        <v>144393.73000000001</v>
      </c>
      <c r="BE28" s="29">
        <v>250487.62</v>
      </c>
      <c r="BF28" s="29">
        <v>255639.29</v>
      </c>
      <c r="BG28" s="29">
        <v>0</v>
      </c>
      <c r="BH28" s="29">
        <v>448020.43</v>
      </c>
      <c r="BI28" s="29">
        <v>0</v>
      </c>
      <c r="BJ28" s="191">
        <f t="shared" si="8"/>
        <v>8266985.2400000002</v>
      </c>
      <c r="BK28" s="191">
        <f t="shared" si="9"/>
        <v>-1846808.08143</v>
      </c>
      <c r="BL28" s="191">
        <f>$BO$9+SUMPRODUCT($D$10:D28,$BK$10:BK28)</f>
        <v>-9380031.4746438749</v>
      </c>
      <c r="BM28" s="30">
        <f t="shared" si="10"/>
        <v>6</v>
      </c>
      <c r="BN28" s="191">
        <f t="shared" si="13"/>
        <v>0</v>
      </c>
      <c r="BO28" s="192">
        <f t="shared" si="11"/>
        <v>0</v>
      </c>
      <c r="BP28" s="41">
        <f t="shared" si="14"/>
        <v>2612609.744556665</v>
      </c>
      <c r="BQ28" s="41">
        <f t="shared" si="15"/>
        <v>48333280.274298303</v>
      </c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>
      <c r="A29" s="193">
        <f t="shared" si="17"/>
        <v>20</v>
      </c>
      <c r="B29" s="194">
        <f t="shared" si="17"/>
        <v>2038</v>
      </c>
      <c r="C29" s="29">
        <v>6</v>
      </c>
      <c r="D29" s="191">
        <f t="shared" si="16"/>
        <v>0.31180000000000002</v>
      </c>
      <c r="E29" s="29">
        <v>15973271.67</v>
      </c>
      <c r="F29" s="191">
        <f t="shared" si="0"/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388179.68</v>
      </c>
      <c r="M29" s="191">
        <f t="shared" si="1"/>
        <v>925977.16</v>
      </c>
      <c r="N29" s="29">
        <v>549785.67000000004</v>
      </c>
      <c r="O29" s="29">
        <v>191202.06</v>
      </c>
      <c r="P29" s="29">
        <v>0</v>
      </c>
      <c r="Q29" s="29">
        <v>50002.31</v>
      </c>
      <c r="R29" s="29">
        <v>90100.52</v>
      </c>
      <c r="S29" s="29">
        <v>44886.6</v>
      </c>
      <c r="T29" s="29">
        <v>0</v>
      </c>
      <c r="U29" s="191">
        <f t="shared" si="2"/>
        <v>707835.22</v>
      </c>
      <c r="V29" s="29">
        <v>420267.02</v>
      </c>
      <c r="W29" s="29">
        <v>146158.62</v>
      </c>
      <c r="X29" s="29">
        <v>0</v>
      </c>
      <c r="Y29" s="29">
        <v>38222.76</v>
      </c>
      <c r="Z29" s="29">
        <v>68874.62</v>
      </c>
      <c r="AA29" s="29">
        <v>34312.199999999997</v>
      </c>
      <c r="AB29" s="29">
        <v>0</v>
      </c>
      <c r="AC29" s="191">
        <f t="shared" si="3"/>
        <v>0</v>
      </c>
      <c r="AD29" s="29">
        <v>0</v>
      </c>
      <c r="AE29" s="29">
        <v>0</v>
      </c>
      <c r="AF29" s="29">
        <v>0</v>
      </c>
      <c r="AG29" s="29">
        <v>0</v>
      </c>
      <c r="AH29" s="191">
        <f t="shared" si="4"/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516432.84</v>
      </c>
      <c r="AO29" s="29">
        <v>4068324.7516540466</v>
      </c>
      <c r="AP29" s="29">
        <v>0</v>
      </c>
      <c r="AQ29" s="29">
        <v>0</v>
      </c>
      <c r="AR29" s="191">
        <f t="shared" si="5"/>
        <v>6606749.6516500004</v>
      </c>
      <c r="AS29" s="191">
        <f t="shared" si="6"/>
        <v>3639282.58</v>
      </c>
      <c r="AT29" s="29">
        <v>1989992.84</v>
      </c>
      <c r="AU29" s="29">
        <v>758904.78</v>
      </c>
      <c r="AV29" s="29">
        <v>0</v>
      </c>
      <c r="AW29" s="29">
        <v>311928.34000000003</v>
      </c>
      <c r="AX29" s="29">
        <v>468079.61</v>
      </c>
      <c r="AY29" s="29">
        <v>110377.01</v>
      </c>
      <c r="AZ29" s="191">
        <f t="shared" si="7"/>
        <v>4876504.5599999996</v>
      </c>
      <c r="BA29" s="29">
        <v>2692895.6</v>
      </c>
      <c r="BB29" s="29">
        <v>1015172.01</v>
      </c>
      <c r="BC29" s="29">
        <v>0</v>
      </c>
      <c r="BD29" s="29">
        <v>153058.29</v>
      </c>
      <c r="BE29" s="29">
        <v>265518.76</v>
      </c>
      <c r="BF29" s="29">
        <v>270979.52</v>
      </c>
      <c r="BG29" s="29">
        <v>0</v>
      </c>
      <c r="BH29" s="29">
        <v>478880.38</v>
      </c>
      <c r="BI29" s="29">
        <v>0</v>
      </c>
      <c r="BJ29" s="191">
        <f t="shared" si="8"/>
        <v>8515787.1400000006</v>
      </c>
      <c r="BK29" s="191">
        <f t="shared" si="9"/>
        <v>-1909037.48835</v>
      </c>
      <c r="BL29" s="191">
        <f>$BO$9+SUMPRODUCT($D$10:D29,$BK$10:BK29)</f>
        <v>-9975269.3635114059</v>
      </c>
      <c r="BM29" s="30">
        <f t="shared" si="10"/>
        <v>6</v>
      </c>
      <c r="BN29" s="191">
        <f t="shared" si="13"/>
        <v>0</v>
      </c>
      <c r="BO29" s="192">
        <f t="shared" si="11"/>
        <v>0</v>
      </c>
      <c r="BP29" s="41">
        <f t="shared" si="14"/>
        <v>2544595.3036471559</v>
      </c>
      <c r="BQ29" s="41">
        <f t="shared" si="15"/>
        <v>49619608.421119541</v>
      </c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>
      <c r="A30" s="193">
        <f t="shared" si="17"/>
        <v>21</v>
      </c>
      <c r="B30" s="194">
        <f t="shared" si="17"/>
        <v>2039</v>
      </c>
      <c r="C30" s="29">
        <v>6</v>
      </c>
      <c r="D30" s="191">
        <f t="shared" si="16"/>
        <v>0.29415000000000002</v>
      </c>
      <c r="E30" s="29">
        <v>16184734.939999999</v>
      </c>
      <c r="F30" s="191">
        <f t="shared" si="0"/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360147.19</v>
      </c>
      <c r="M30" s="191">
        <f t="shared" si="1"/>
        <v>971174.63</v>
      </c>
      <c r="N30" s="29">
        <v>576525.18999999994</v>
      </c>
      <c r="O30" s="29">
        <v>202675.14</v>
      </c>
      <c r="P30" s="29">
        <v>0</v>
      </c>
      <c r="Q30" s="29">
        <v>51420.71</v>
      </c>
      <c r="R30" s="29">
        <v>93897.67</v>
      </c>
      <c r="S30" s="29">
        <v>46655.92</v>
      </c>
      <c r="T30" s="29">
        <v>0</v>
      </c>
      <c r="U30" s="191">
        <f t="shared" si="2"/>
        <v>742385.05</v>
      </c>
      <c r="V30" s="29">
        <v>440707.23</v>
      </c>
      <c r="W30" s="29">
        <v>154928.88</v>
      </c>
      <c r="X30" s="29">
        <v>0</v>
      </c>
      <c r="Y30" s="29">
        <v>39307.01</v>
      </c>
      <c r="Z30" s="29">
        <v>71777.23</v>
      </c>
      <c r="AA30" s="29">
        <v>35664.699999999997</v>
      </c>
      <c r="AB30" s="29">
        <v>0</v>
      </c>
      <c r="AC30" s="191">
        <f t="shared" si="3"/>
        <v>0</v>
      </c>
      <c r="AD30" s="29">
        <v>0</v>
      </c>
      <c r="AE30" s="29">
        <v>0</v>
      </c>
      <c r="AF30" s="29">
        <v>0</v>
      </c>
      <c r="AG30" s="29">
        <v>0</v>
      </c>
      <c r="AH30" s="191">
        <f t="shared" si="4"/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569273.36</v>
      </c>
      <c r="AO30" s="29">
        <v>4109007.9991705865</v>
      </c>
      <c r="AP30" s="29">
        <v>0</v>
      </c>
      <c r="AQ30" s="29">
        <v>0</v>
      </c>
      <c r="AR30" s="191">
        <f t="shared" si="5"/>
        <v>6751988.2291700002</v>
      </c>
      <c r="AS30" s="191">
        <f t="shared" si="6"/>
        <v>3378401.84</v>
      </c>
      <c r="AT30" s="29">
        <v>1809700.28</v>
      </c>
      <c r="AU30" s="29">
        <v>804441.35</v>
      </c>
      <c r="AV30" s="29">
        <v>0</v>
      </c>
      <c r="AW30" s="29">
        <v>330644.74</v>
      </c>
      <c r="AX30" s="29">
        <v>329275.36</v>
      </c>
      <c r="AY30" s="29">
        <v>104340.11</v>
      </c>
      <c r="AZ30" s="191">
        <f t="shared" si="7"/>
        <v>5045208.99</v>
      </c>
      <c r="BA30" s="29">
        <v>2763074.02</v>
      </c>
      <c r="BB30" s="29">
        <v>1076086.43</v>
      </c>
      <c r="BC30" s="29">
        <v>0</v>
      </c>
      <c r="BD30" s="29">
        <v>154021.89000000001</v>
      </c>
      <c r="BE30" s="29">
        <v>272917.56</v>
      </c>
      <c r="BF30" s="29">
        <v>274680.13</v>
      </c>
      <c r="BG30" s="29">
        <v>0</v>
      </c>
      <c r="BH30" s="29">
        <v>504428.96</v>
      </c>
      <c r="BI30" s="29">
        <v>0</v>
      </c>
      <c r="BJ30" s="191">
        <f t="shared" si="8"/>
        <v>8423610.8300000001</v>
      </c>
      <c r="BK30" s="191">
        <f t="shared" si="9"/>
        <v>-1671622.6008299999</v>
      </c>
      <c r="BL30" s="191">
        <f>$BO$9+SUMPRODUCT($D$10:D30,$BK$10:BK30)</f>
        <v>-10466977.151545551</v>
      </c>
      <c r="BM30" s="30">
        <f t="shared" si="10"/>
        <v>6</v>
      </c>
      <c r="BN30" s="191">
        <f t="shared" si="13"/>
        <v>0</v>
      </c>
      <c r="BO30" s="192">
        <f t="shared" si="11"/>
        <v>0</v>
      </c>
      <c r="BP30" s="41">
        <f t="shared" si="14"/>
        <v>2366736.729337452</v>
      </c>
      <c r="BQ30" s="41">
        <f t="shared" si="15"/>
        <v>48518102.951417767</v>
      </c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193">
        <f t="shared" si="17"/>
        <v>22</v>
      </c>
      <c r="B31" s="194">
        <f t="shared" si="17"/>
        <v>2040</v>
      </c>
      <c r="C31" s="29">
        <v>6</v>
      </c>
      <c r="D31" s="191">
        <f t="shared" si="16"/>
        <v>0.27750000000000002</v>
      </c>
      <c r="E31" s="29">
        <v>16414770.949999999</v>
      </c>
      <c r="F31" s="191">
        <f t="shared" si="0"/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367417.78</v>
      </c>
      <c r="M31" s="191">
        <f t="shared" si="1"/>
        <v>1023181.49</v>
      </c>
      <c r="N31" s="29">
        <v>606332.51</v>
      </c>
      <c r="O31" s="29">
        <v>214835.41</v>
      </c>
      <c r="P31" s="29">
        <v>0</v>
      </c>
      <c r="Q31" s="29">
        <v>54142.28</v>
      </c>
      <c r="R31" s="29">
        <v>99013.86</v>
      </c>
      <c r="S31" s="29">
        <v>48857.43</v>
      </c>
      <c r="T31" s="29">
        <v>0</v>
      </c>
      <c r="U31" s="191">
        <f t="shared" si="2"/>
        <v>782140.11</v>
      </c>
      <c r="V31" s="29">
        <v>463492.53</v>
      </c>
      <c r="W31" s="29">
        <v>164224.43</v>
      </c>
      <c r="X31" s="29">
        <v>0</v>
      </c>
      <c r="Y31" s="29">
        <v>41387.42</v>
      </c>
      <c r="Z31" s="29">
        <v>75688.149999999994</v>
      </c>
      <c r="AA31" s="29">
        <v>37347.58</v>
      </c>
      <c r="AB31" s="29">
        <v>0</v>
      </c>
      <c r="AC31" s="191">
        <f t="shared" si="3"/>
        <v>0</v>
      </c>
      <c r="AD31" s="29">
        <v>0</v>
      </c>
      <c r="AE31" s="29">
        <v>0</v>
      </c>
      <c r="AF31" s="29">
        <v>0</v>
      </c>
      <c r="AG31" s="29">
        <v>0</v>
      </c>
      <c r="AH31" s="191">
        <f t="shared" si="4"/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614239.81000000006</v>
      </c>
      <c r="AO31" s="29">
        <v>4150098.0791622931</v>
      </c>
      <c r="AP31" s="29">
        <v>0</v>
      </c>
      <c r="AQ31" s="29">
        <v>0</v>
      </c>
      <c r="AR31" s="191">
        <f t="shared" si="5"/>
        <v>6937077.2691599997</v>
      </c>
      <c r="AS31" s="191">
        <f t="shared" si="6"/>
        <v>3418488.65</v>
      </c>
      <c r="AT31" s="29">
        <v>1821296.86</v>
      </c>
      <c r="AU31" s="29">
        <v>852707.93</v>
      </c>
      <c r="AV31" s="29">
        <v>0</v>
      </c>
      <c r="AW31" s="29">
        <v>350483.06</v>
      </c>
      <c r="AX31" s="29">
        <v>315671.08</v>
      </c>
      <c r="AY31" s="29">
        <v>78329.72</v>
      </c>
      <c r="AZ31" s="191">
        <f t="shared" si="7"/>
        <v>5188913.4400000004</v>
      </c>
      <c r="BA31" s="29">
        <v>2815238.1</v>
      </c>
      <c r="BB31" s="29">
        <v>1140651.42</v>
      </c>
      <c r="BC31" s="29">
        <v>0</v>
      </c>
      <c r="BD31" s="29">
        <v>160458.47</v>
      </c>
      <c r="BE31" s="29">
        <v>285395.90999999997</v>
      </c>
      <c r="BF31" s="29">
        <v>277638.3</v>
      </c>
      <c r="BG31" s="29">
        <v>0</v>
      </c>
      <c r="BH31" s="29">
        <v>509531.24</v>
      </c>
      <c r="BI31" s="29">
        <v>0</v>
      </c>
      <c r="BJ31" s="191">
        <f t="shared" si="8"/>
        <v>8607402.0899999999</v>
      </c>
      <c r="BK31" s="191">
        <f t="shared" si="9"/>
        <v>-1670324.8208399999</v>
      </c>
      <c r="BL31" s="191">
        <f>$BO$9+SUMPRODUCT($D$10:D31,$BK$10:BK31)</f>
        <v>-10930492.289328652</v>
      </c>
      <c r="BM31" s="30">
        <f t="shared" si="10"/>
        <v>6</v>
      </c>
      <c r="BN31" s="191">
        <f t="shared" si="13"/>
        <v>0</v>
      </c>
      <c r="BO31" s="192">
        <f t="shared" si="11"/>
        <v>0</v>
      </c>
      <c r="BP31" s="41">
        <f t="shared" si="14"/>
        <v>2291254.9484032141</v>
      </c>
      <c r="BQ31" s="41">
        <f t="shared" si="15"/>
        <v>49261981.3906691</v>
      </c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193">
        <f t="shared" si="17"/>
        <v>23</v>
      </c>
      <c r="B32" s="194">
        <f t="shared" si="17"/>
        <v>2041</v>
      </c>
      <c r="C32" s="29">
        <v>6</v>
      </c>
      <c r="D32" s="191">
        <f t="shared" si="16"/>
        <v>0.26179000000000002</v>
      </c>
      <c r="E32" s="29">
        <v>16615690.130000001</v>
      </c>
      <c r="F32" s="191">
        <f t="shared" si="0"/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360535.62</v>
      </c>
      <c r="M32" s="191">
        <f t="shared" si="1"/>
        <v>1079277.4099999999</v>
      </c>
      <c r="N32" s="29">
        <v>638964.62</v>
      </c>
      <c r="O32" s="29">
        <v>227727.56</v>
      </c>
      <c r="P32" s="29">
        <v>0</v>
      </c>
      <c r="Q32" s="29">
        <v>56948.25</v>
      </c>
      <c r="R32" s="29">
        <v>104324.84</v>
      </c>
      <c r="S32" s="29">
        <v>51312.14</v>
      </c>
      <c r="T32" s="29">
        <v>0</v>
      </c>
      <c r="U32" s="191">
        <f t="shared" si="2"/>
        <v>825020.97</v>
      </c>
      <c r="V32" s="29">
        <v>488437.17</v>
      </c>
      <c r="W32" s="29">
        <v>174079.45</v>
      </c>
      <c r="X32" s="29">
        <v>0</v>
      </c>
      <c r="Y32" s="29">
        <v>43532.36</v>
      </c>
      <c r="Z32" s="29">
        <v>79747.97</v>
      </c>
      <c r="AA32" s="29">
        <v>39224.019999999997</v>
      </c>
      <c r="AB32" s="29">
        <v>0</v>
      </c>
      <c r="AC32" s="191">
        <f t="shared" si="3"/>
        <v>0</v>
      </c>
      <c r="AD32" s="29">
        <v>0</v>
      </c>
      <c r="AE32" s="29">
        <v>0</v>
      </c>
      <c r="AF32" s="29">
        <v>0</v>
      </c>
      <c r="AG32" s="29">
        <v>0</v>
      </c>
      <c r="AH32" s="191">
        <f t="shared" si="4"/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666209.67000000004</v>
      </c>
      <c r="AO32" s="29">
        <v>4191599.0599539154</v>
      </c>
      <c r="AP32" s="29">
        <v>0</v>
      </c>
      <c r="AQ32" s="29">
        <v>0</v>
      </c>
      <c r="AR32" s="191">
        <f t="shared" si="5"/>
        <v>7122642.7299499996</v>
      </c>
      <c r="AS32" s="191">
        <f t="shared" si="6"/>
        <v>3351796.8</v>
      </c>
      <c r="AT32" s="29">
        <v>1716655.45</v>
      </c>
      <c r="AU32" s="29">
        <v>879344.48</v>
      </c>
      <c r="AV32" s="29">
        <v>0</v>
      </c>
      <c r="AW32" s="29">
        <v>346982.71</v>
      </c>
      <c r="AX32" s="29">
        <v>334613.99</v>
      </c>
      <c r="AY32" s="29">
        <v>74200.17</v>
      </c>
      <c r="AZ32" s="191">
        <f t="shared" si="7"/>
        <v>5349362.2699999996</v>
      </c>
      <c r="BA32" s="29">
        <v>2931624.68</v>
      </c>
      <c r="BB32" s="29">
        <v>1146131.44</v>
      </c>
      <c r="BC32" s="29">
        <v>0</v>
      </c>
      <c r="BD32" s="29">
        <v>167665.35999999999</v>
      </c>
      <c r="BE32" s="29">
        <v>298900.65999999997</v>
      </c>
      <c r="BF32" s="29">
        <v>281285.43</v>
      </c>
      <c r="BG32" s="29">
        <v>0</v>
      </c>
      <c r="BH32" s="29">
        <v>523754.7</v>
      </c>
      <c r="BI32" s="29">
        <v>0</v>
      </c>
      <c r="BJ32" s="191">
        <f t="shared" si="8"/>
        <v>8701159.0700000003</v>
      </c>
      <c r="BK32" s="191">
        <f t="shared" si="9"/>
        <v>-1578516.34005</v>
      </c>
      <c r="BL32" s="191">
        <f>$BO$9+SUMPRODUCT($D$10:D32,$BK$10:BK32)</f>
        <v>-11343732.081990341</v>
      </c>
      <c r="BM32" s="30">
        <f t="shared" si="10"/>
        <v>6</v>
      </c>
      <c r="BN32" s="191">
        <f t="shared" si="13"/>
        <v>0</v>
      </c>
      <c r="BO32" s="192">
        <f t="shared" si="11"/>
        <v>0</v>
      </c>
      <c r="BP32" s="41">
        <f t="shared" si="14"/>
        <v>2184111.5463502682</v>
      </c>
      <c r="BQ32" s="41">
        <f t="shared" si="15"/>
        <v>49142509.792881034</v>
      </c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193">
        <f t="shared" si="17"/>
        <v>24</v>
      </c>
      <c r="B33" s="194">
        <f t="shared" si="17"/>
        <v>2042</v>
      </c>
      <c r="C33" s="29">
        <v>6</v>
      </c>
      <c r="D33" s="191">
        <f t="shared" si="16"/>
        <v>0.24697</v>
      </c>
      <c r="E33" s="29">
        <v>16738142.17</v>
      </c>
      <c r="F33" s="191">
        <f t="shared" si="0"/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321899.09000000003</v>
      </c>
      <c r="M33" s="191">
        <f t="shared" si="1"/>
        <v>1123826.28</v>
      </c>
      <c r="N33" s="29">
        <v>668198.18000000005</v>
      </c>
      <c r="O33" s="29">
        <v>236545.72</v>
      </c>
      <c r="P33" s="29">
        <v>0</v>
      </c>
      <c r="Q33" s="29">
        <v>57877.89</v>
      </c>
      <c r="R33" s="29">
        <v>108463.67999999999</v>
      </c>
      <c r="S33" s="29">
        <v>52740.81</v>
      </c>
      <c r="T33" s="29">
        <v>0</v>
      </c>
      <c r="U33" s="191">
        <f t="shared" si="2"/>
        <v>859074.99</v>
      </c>
      <c r="V33" s="29">
        <v>510783.88</v>
      </c>
      <c r="W33" s="29">
        <v>180820.22</v>
      </c>
      <c r="X33" s="29">
        <v>0</v>
      </c>
      <c r="Y33" s="29">
        <v>44243</v>
      </c>
      <c r="Z33" s="29">
        <v>82911.78</v>
      </c>
      <c r="AA33" s="29">
        <v>40316.11</v>
      </c>
      <c r="AB33" s="29">
        <v>0</v>
      </c>
      <c r="AC33" s="191">
        <f t="shared" si="3"/>
        <v>0</v>
      </c>
      <c r="AD33" s="29">
        <v>0</v>
      </c>
      <c r="AE33" s="29">
        <v>0</v>
      </c>
      <c r="AF33" s="29">
        <v>0</v>
      </c>
      <c r="AG33" s="29">
        <v>0</v>
      </c>
      <c r="AH33" s="191">
        <f t="shared" si="4"/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727117</v>
      </c>
      <c r="AO33" s="29">
        <v>4233515.0505534559</v>
      </c>
      <c r="AP33" s="29">
        <v>0</v>
      </c>
      <c r="AQ33" s="29">
        <v>0</v>
      </c>
      <c r="AR33" s="191">
        <f t="shared" si="5"/>
        <v>7265432.4105500001</v>
      </c>
      <c r="AS33" s="191">
        <f t="shared" si="6"/>
        <v>2991247.64</v>
      </c>
      <c r="AT33" s="29">
        <v>1589831.32</v>
      </c>
      <c r="AU33" s="29">
        <v>863413.62</v>
      </c>
      <c r="AV33" s="29">
        <v>0</v>
      </c>
      <c r="AW33" s="29">
        <v>221061.22</v>
      </c>
      <c r="AX33" s="29">
        <v>252051.11</v>
      </c>
      <c r="AY33" s="29">
        <v>64890.37</v>
      </c>
      <c r="AZ33" s="191">
        <f t="shared" si="7"/>
        <v>5445233.6100000003</v>
      </c>
      <c r="BA33" s="29">
        <v>2950447.59</v>
      </c>
      <c r="BB33" s="29">
        <v>1182837.01</v>
      </c>
      <c r="BC33" s="29">
        <v>0</v>
      </c>
      <c r="BD33" s="29">
        <v>166849.4</v>
      </c>
      <c r="BE33" s="29">
        <v>306231.03999999998</v>
      </c>
      <c r="BF33" s="29">
        <v>276756.84000000003</v>
      </c>
      <c r="BG33" s="29">
        <v>0</v>
      </c>
      <c r="BH33" s="29">
        <v>562111.73</v>
      </c>
      <c r="BI33" s="29">
        <v>0</v>
      </c>
      <c r="BJ33" s="191">
        <f t="shared" si="8"/>
        <v>8436481.25</v>
      </c>
      <c r="BK33" s="191">
        <f t="shared" si="9"/>
        <v>-1171048.8394500001</v>
      </c>
      <c r="BL33" s="191">
        <f>$BO$9+SUMPRODUCT($D$10:D33,$BK$10:BK33)</f>
        <v>-11632946.013869308</v>
      </c>
      <c r="BM33" s="30">
        <f t="shared" si="10"/>
        <v>6</v>
      </c>
      <c r="BN33" s="191">
        <f t="shared" si="13"/>
        <v>0</v>
      </c>
      <c r="BO33" s="192">
        <f t="shared" si="11"/>
        <v>0</v>
      </c>
      <c r="BP33" s="41">
        <f t="shared" si="14"/>
        <v>1985794.1914562683</v>
      </c>
      <c r="BQ33" s="41">
        <f t="shared" si="15"/>
        <v>46666163.499222308</v>
      </c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193">
        <f t="shared" si="17"/>
        <v>25</v>
      </c>
      <c r="B34" s="194">
        <f t="shared" si="17"/>
        <v>2043</v>
      </c>
      <c r="C34" s="29">
        <v>6</v>
      </c>
      <c r="D34" s="191">
        <f t="shared" si="16"/>
        <v>0.23299</v>
      </c>
      <c r="E34" s="29">
        <v>16812445.41</v>
      </c>
      <c r="F34" s="191">
        <f t="shared" si="0"/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307236.21999999997</v>
      </c>
      <c r="M34" s="191">
        <f t="shared" si="1"/>
        <v>1161811.3899999999</v>
      </c>
      <c r="N34" s="29">
        <v>690500</v>
      </c>
      <c r="O34" s="29">
        <v>247173.93</v>
      </c>
      <c r="P34" s="29">
        <v>0</v>
      </c>
      <c r="Q34" s="29">
        <v>58359.49</v>
      </c>
      <c r="R34" s="29">
        <v>112238.37</v>
      </c>
      <c r="S34" s="29">
        <v>53539.6</v>
      </c>
      <c r="T34" s="29">
        <v>0</v>
      </c>
      <c r="U34" s="191">
        <f t="shared" si="2"/>
        <v>888111.53</v>
      </c>
      <c r="V34" s="29">
        <v>527831.81999999995</v>
      </c>
      <c r="W34" s="29">
        <v>188944.63</v>
      </c>
      <c r="X34" s="29">
        <v>0</v>
      </c>
      <c r="Y34" s="29">
        <v>44611.14</v>
      </c>
      <c r="Z34" s="29">
        <v>85797.22</v>
      </c>
      <c r="AA34" s="29">
        <v>40926.720000000001</v>
      </c>
      <c r="AB34" s="29">
        <v>0</v>
      </c>
      <c r="AC34" s="191">
        <f t="shared" si="3"/>
        <v>0</v>
      </c>
      <c r="AD34" s="29">
        <v>0</v>
      </c>
      <c r="AE34" s="29">
        <v>0</v>
      </c>
      <c r="AF34" s="29">
        <v>0</v>
      </c>
      <c r="AG34" s="29">
        <v>0</v>
      </c>
      <c r="AH34" s="191">
        <f t="shared" si="4"/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772667.34</v>
      </c>
      <c r="AO34" s="29">
        <v>4275850.2010589903</v>
      </c>
      <c r="AP34" s="29">
        <v>0</v>
      </c>
      <c r="AQ34" s="29">
        <v>0</v>
      </c>
      <c r="AR34" s="191">
        <f t="shared" si="5"/>
        <v>7405676.6810600003</v>
      </c>
      <c r="AS34" s="191">
        <f t="shared" si="6"/>
        <v>2805977.36</v>
      </c>
      <c r="AT34" s="29">
        <v>1467357.23</v>
      </c>
      <c r="AU34" s="29">
        <v>877612.52</v>
      </c>
      <c r="AV34" s="29">
        <v>0</v>
      </c>
      <c r="AW34" s="29">
        <v>207620.74</v>
      </c>
      <c r="AX34" s="29">
        <v>240469.97</v>
      </c>
      <c r="AY34" s="29">
        <v>12916.9</v>
      </c>
      <c r="AZ34" s="191">
        <f t="shared" si="7"/>
        <v>5509633.7199999997</v>
      </c>
      <c r="BA34" s="29">
        <v>2979392.02</v>
      </c>
      <c r="BB34" s="29">
        <v>1201387.01</v>
      </c>
      <c r="BC34" s="29">
        <v>0</v>
      </c>
      <c r="BD34" s="29">
        <v>163318.96</v>
      </c>
      <c r="BE34" s="29">
        <v>310083.46999999997</v>
      </c>
      <c r="BF34" s="29">
        <v>272213.90000000002</v>
      </c>
      <c r="BG34" s="29">
        <v>0</v>
      </c>
      <c r="BH34" s="29">
        <v>583238.36</v>
      </c>
      <c r="BI34" s="29">
        <v>0</v>
      </c>
      <c r="BJ34" s="191">
        <f t="shared" si="8"/>
        <v>8315611.0800000001</v>
      </c>
      <c r="BK34" s="191">
        <f t="shared" si="9"/>
        <v>-909934.39893999998</v>
      </c>
      <c r="BL34" s="191">
        <f>$BO$9+SUMPRODUCT($D$10:D34,$BK$10:BK34)</f>
        <v>-11844951.629478339</v>
      </c>
      <c r="BM34" s="30">
        <f t="shared" si="10"/>
        <v>6</v>
      </c>
      <c r="BN34" s="191">
        <f t="shared" si="13"/>
        <v>0</v>
      </c>
      <c r="BO34" s="192">
        <f t="shared" si="11"/>
        <v>0</v>
      </c>
      <c r="BP34" s="41">
        <f t="shared" si="14"/>
        <v>1851795.3405912374</v>
      </c>
      <c r="BQ34" s="41">
        <f t="shared" si="15"/>
        <v>45368985.84448532</v>
      </c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193">
        <f t="shared" si="17"/>
        <v>26</v>
      </c>
      <c r="B35" s="194">
        <f t="shared" si="17"/>
        <v>2044</v>
      </c>
      <c r="C35" s="29">
        <v>6</v>
      </c>
      <c r="D35" s="191">
        <f t="shared" si="16"/>
        <v>0.2198</v>
      </c>
      <c r="E35" s="29">
        <v>16961937.66</v>
      </c>
      <c r="F35" s="191">
        <f t="shared" si="0"/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295018.46999999997</v>
      </c>
      <c r="M35" s="191">
        <f t="shared" si="1"/>
        <v>1209534.75</v>
      </c>
      <c r="N35" s="29">
        <v>724887.46</v>
      </c>
      <c r="O35" s="29">
        <v>255863.73</v>
      </c>
      <c r="P35" s="29">
        <v>0</v>
      </c>
      <c r="Q35" s="29">
        <v>58222.01</v>
      </c>
      <c r="R35" s="29">
        <v>115364.19</v>
      </c>
      <c r="S35" s="29">
        <v>55197.36</v>
      </c>
      <c r="T35" s="29">
        <v>0</v>
      </c>
      <c r="U35" s="191">
        <f t="shared" si="2"/>
        <v>924592.22</v>
      </c>
      <c r="V35" s="29">
        <v>554118.28</v>
      </c>
      <c r="W35" s="29">
        <v>195587.28</v>
      </c>
      <c r="X35" s="29">
        <v>0</v>
      </c>
      <c r="Y35" s="29">
        <v>44506.05</v>
      </c>
      <c r="Z35" s="29">
        <v>88186.66</v>
      </c>
      <c r="AA35" s="29">
        <v>42193.95</v>
      </c>
      <c r="AB35" s="29">
        <v>0</v>
      </c>
      <c r="AC35" s="191">
        <f t="shared" si="3"/>
        <v>0</v>
      </c>
      <c r="AD35" s="29">
        <v>0</v>
      </c>
      <c r="AE35" s="29">
        <v>0</v>
      </c>
      <c r="AF35" s="29">
        <v>0</v>
      </c>
      <c r="AG35" s="29">
        <v>0</v>
      </c>
      <c r="AH35" s="191">
        <f t="shared" si="4"/>
        <v>0</v>
      </c>
      <c r="AI35" s="29">
        <v>0</v>
      </c>
      <c r="AJ35" s="29">
        <v>0</v>
      </c>
      <c r="AK35" s="29">
        <v>0</v>
      </c>
      <c r="AL35" s="29">
        <v>0</v>
      </c>
      <c r="AM35" s="29">
        <v>0</v>
      </c>
      <c r="AN35" s="29">
        <v>798632.35</v>
      </c>
      <c r="AO35" s="29">
        <v>4318608.7030695807</v>
      </c>
      <c r="AP35" s="29">
        <v>0</v>
      </c>
      <c r="AQ35" s="29">
        <v>0</v>
      </c>
      <c r="AR35" s="191">
        <f t="shared" si="5"/>
        <v>7546386.4930699999</v>
      </c>
      <c r="AS35" s="191">
        <f t="shared" si="6"/>
        <v>2691071.08</v>
      </c>
      <c r="AT35" s="29">
        <v>1340130.6000000001</v>
      </c>
      <c r="AU35" s="29">
        <v>866880.13</v>
      </c>
      <c r="AV35" s="29">
        <v>0</v>
      </c>
      <c r="AW35" s="29">
        <v>220079.51</v>
      </c>
      <c r="AX35" s="29">
        <v>254900.62</v>
      </c>
      <c r="AY35" s="29">
        <v>9080.2199999999993</v>
      </c>
      <c r="AZ35" s="191">
        <f t="shared" si="7"/>
        <v>5695424.7999999998</v>
      </c>
      <c r="BA35" s="29">
        <v>3091766.53</v>
      </c>
      <c r="BB35" s="29">
        <v>1256545.1100000001</v>
      </c>
      <c r="BC35" s="29">
        <v>0</v>
      </c>
      <c r="BD35" s="29">
        <v>161968.29999999999</v>
      </c>
      <c r="BE35" s="29">
        <v>316393.3</v>
      </c>
      <c r="BF35" s="29">
        <v>279008.98</v>
      </c>
      <c r="BG35" s="29">
        <v>0</v>
      </c>
      <c r="BH35" s="29">
        <v>589742.57999999996</v>
      </c>
      <c r="BI35" s="29">
        <v>0</v>
      </c>
      <c r="BJ35" s="191">
        <f t="shared" si="8"/>
        <v>8386495.8799999999</v>
      </c>
      <c r="BK35" s="191">
        <f t="shared" si="9"/>
        <v>-840109.38693000004</v>
      </c>
      <c r="BL35" s="191">
        <f>$BO$9+SUMPRODUCT($D$10:D35,$BK$10:BK35)</f>
        <v>-12029607.672725553</v>
      </c>
      <c r="BM35" s="30">
        <f t="shared" si="10"/>
        <v>6</v>
      </c>
      <c r="BN35" s="191">
        <f t="shared" si="13"/>
        <v>0</v>
      </c>
      <c r="BO35" s="192">
        <f t="shared" si="11"/>
        <v>0</v>
      </c>
      <c r="BP35" s="41">
        <f t="shared" si="14"/>
        <v>1762414.8668942973</v>
      </c>
      <c r="BQ35" s="41">
        <f t="shared" si="15"/>
        <v>44941579.105804577</v>
      </c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193">
        <f t="shared" si="17"/>
        <v>27</v>
      </c>
      <c r="B36" s="194">
        <f t="shared" si="17"/>
        <v>2045</v>
      </c>
      <c r="C36" s="29">
        <v>6</v>
      </c>
      <c r="D36" s="191">
        <f t="shared" si="16"/>
        <v>0.20735999999999999</v>
      </c>
      <c r="E36" s="29">
        <v>17112307.920000002</v>
      </c>
      <c r="F36" s="191">
        <f t="shared" si="0"/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268989.88</v>
      </c>
      <c r="M36" s="191">
        <f t="shared" si="1"/>
        <v>1261762.45</v>
      </c>
      <c r="N36" s="29">
        <v>761091.11</v>
      </c>
      <c r="O36" s="29">
        <v>264463.73</v>
      </c>
      <c r="P36" s="29">
        <v>0</v>
      </c>
      <c r="Q36" s="29">
        <v>59013.67</v>
      </c>
      <c r="R36" s="29">
        <v>120036.87</v>
      </c>
      <c r="S36" s="29">
        <v>57157.07</v>
      </c>
      <c r="T36" s="29">
        <v>0</v>
      </c>
      <c r="U36" s="191">
        <f t="shared" si="2"/>
        <v>964516.13</v>
      </c>
      <c r="V36" s="29">
        <v>581793.06999999995</v>
      </c>
      <c r="W36" s="29">
        <v>202161.29</v>
      </c>
      <c r="X36" s="29">
        <v>0</v>
      </c>
      <c r="Y36" s="29">
        <v>45111.22</v>
      </c>
      <c r="Z36" s="29">
        <v>91758.56</v>
      </c>
      <c r="AA36" s="29">
        <v>43691.99</v>
      </c>
      <c r="AB36" s="29">
        <v>0</v>
      </c>
      <c r="AC36" s="191">
        <f t="shared" si="3"/>
        <v>0</v>
      </c>
      <c r="AD36" s="29">
        <v>0</v>
      </c>
      <c r="AE36" s="29">
        <v>0</v>
      </c>
      <c r="AF36" s="29">
        <v>0</v>
      </c>
      <c r="AG36" s="29">
        <v>0</v>
      </c>
      <c r="AH36" s="191">
        <f t="shared" si="4"/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831469.71</v>
      </c>
      <c r="AO36" s="29">
        <v>4361794.7901002746</v>
      </c>
      <c r="AP36" s="29">
        <v>0</v>
      </c>
      <c r="AQ36" s="29">
        <v>0</v>
      </c>
      <c r="AR36" s="191">
        <f t="shared" si="5"/>
        <v>7688532.9600999998</v>
      </c>
      <c r="AS36" s="191">
        <f t="shared" si="6"/>
        <v>2445365.5299999998</v>
      </c>
      <c r="AT36" s="29">
        <v>1057370.53</v>
      </c>
      <c r="AU36" s="29">
        <v>918885.54</v>
      </c>
      <c r="AV36" s="29">
        <v>0</v>
      </c>
      <c r="AW36" s="29">
        <v>233282.68</v>
      </c>
      <c r="AX36" s="29">
        <v>235826.78</v>
      </c>
      <c r="AY36" s="29">
        <v>0</v>
      </c>
      <c r="AZ36" s="191">
        <f t="shared" si="7"/>
        <v>5844243.2800000003</v>
      </c>
      <c r="BA36" s="29">
        <v>3253544.51</v>
      </c>
      <c r="BB36" s="29">
        <v>1211387.98</v>
      </c>
      <c r="BC36" s="29">
        <v>0</v>
      </c>
      <c r="BD36" s="29">
        <v>161778.31</v>
      </c>
      <c r="BE36" s="29">
        <v>326685.67</v>
      </c>
      <c r="BF36" s="29">
        <v>282612.15999999997</v>
      </c>
      <c r="BG36" s="29">
        <v>0</v>
      </c>
      <c r="BH36" s="29">
        <v>608234.65</v>
      </c>
      <c r="BI36" s="29">
        <v>0</v>
      </c>
      <c r="BJ36" s="191">
        <f t="shared" si="8"/>
        <v>8289608.8099999996</v>
      </c>
      <c r="BK36" s="191">
        <f t="shared" si="9"/>
        <v>-601075.84990000003</v>
      </c>
      <c r="BL36" s="191">
        <f>$BO$9+SUMPRODUCT($D$10:D36,$BK$10:BK36)</f>
        <v>-12154246.760960817</v>
      </c>
      <c r="BM36" s="30">
        <f t="shared" si="10"/>
        <v>6</v>
      </c>
      <c r="BN36" s="191">
        <f t="shared" si="13"/>
        <v>0</v>
      </c>
      <c r="BO36" s="192">
        <f t="shared" si="11"/>
        <v>0</v>
      </c>
      <c r="BP36" s="41">
        <f t="shared" si="14"/>
        <v>1639960.8882964738</v>
      </c>
      <c r="BQ36" s="41">
        <f t="shared" si="15"/>
        <v>43458963.539856553</v>
      </c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193">
        <f t="shared" si="17"/>
        <v>28</v>
      </c>
      <c r="B37" s="194">
        <f t="shared" si="17"/>
        <v>2046</v>
      </c>
      <c r="C37" s="29">
        <v>6</v>
      </c>
      <c r="D37" s="191">
        <f t="shared" si="16"/>
        <v>0.19561999999999999</v>
      </c>
      <c r="E37" s="29">
        <v>17204229.510000002</v>
      </c>
      <c r="F37" s="191">
        <f t="shared" si="0"/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206675.34</v>
      </c>
      <c r="M37" s="191">
        <f t="shared" si="1"/>
        <v>1309999.1499999999</v>
      </c>
      <c r="N37" s="29">
        <v>786990.87</v>
      </c>
      <c r="O37" s="29">
        <v>280335.46999999997</v>
      </c>
      <c r="P37" s="29">
        <v>0</v>
      </c>
      <c r="Q37" s="29">
        <v>59538.42</v>
      </c>
      <c r="R37" s="29">
        <v>124369.75</v>
      </c>
      <c r="S37" s="29">
        <v>58764.639999999999</v>
      </c>
      <c r="T37" s="29">
        <v>0</v>
      </c>
      <c r="U37" s="191">
        <f t="shared" si="2"/>
        <v>1001389.22</v>
      </c>
      <c r="V37" s="29">
        <v>601591.36</v>
      </c>
      <c r="W37" s="29">
        <v>214293.97</v>
      </c>
      <c r="X37" s="29">
        <v>0</v>
      </c>
      <c r="Y37" s="29">
        <v>45512.34</v>
      </c>
      <c r="Z37" s="29">
        <v>95070.7</v>
      </c>
      <c r="AA37" s="29">
        <v>44920.85</v>
      </c>
      <c r="AB37" s="29">
        <v>0</v>
      </c>
      <c r="AC37" s="191">
        <f t="shared" si="3"/>
        <v>0</v>
      </c>
      <c r="AD37" s="29">
        <v>0</v>
      </c>
      <c r="AE37" s="29">
        <v>0</v>
      </c>
      <c r="AF37" s="29">
        <v>0</v>
      </c>
      <c r="AG37" s="29">
        <v>0</v>
      </c>
      <c r="AH37" s="191">
        <f t="shared" si="4"/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868525.29</v>
      </c>
      <c r="AO37" s="29">
        <v>4405412.7380012777</v>
      </c>
      <c r="AP37" s="29">
        <v>0</v>
      </c>
      <c r="AQ37" s="29">
        <v>0</v>
      </c>
      <c r="AR37" s="191">
        <f t="shared" si="5"/>
        <v>7792001.7379999999</v>
      </c>
      <c r="AS37" s="191">
        <f t="shared" si="6"/>
        <v>1878873.68</v>
      </c>
      <c r="AT37" s="29">
        <v>634398.42000000004</v>
      </c>
      <c r="AU37" s="29">
        <v>846296.15</v>
      </c>
      <c r="AV37" s="29">
        <v>0</v>
      </c>
      <c r="AW37" s="29">
        <v>148199.26</v>
      </c>
      <c r="AX37" s="29">
        <v>249979.85</v>
      </c>
      <c r="AY37" s="29">
        <v>0</v>
      </c>
      <c r="AZ37" s="191">
        <f t="shared" si="7"/>
        <v>5918466.3600000003</v>
      </c>
      <c r="BA37" s="29">
        <v>3236947.88</v>
      </c>
      <c r="BB37" s="29">
        <v>1284089.5</v>
      </c>
      <c r="BC37" s="29">
        <v>0</v>
      </c>
      <c r="BD37" s="29">
        <v>160348.04999999999</v>
      </c>
      <c r="BE37" s="29">
        <v>334488.65999999997</v>
      </c>
      <c r="BF37" s="29">
        <v>280055.31</v>
      </c>
      <c r="BG37" s="29">
        <v>0</v>
      </c>
      <c r="BH37" s="29">
        <v>622536.95999999996</v>
      </c>
      <c r="BI37" s="29">
        <v>0</v>
      </c>
      <c r="BJ37" s="191">
        <f t="shared" si="8"/>
        <v>7797340.04</v>
      </c>
      <c r="BK37" s="191">
        <f t="shared" si="9"/>
        <v>-5338.3019999999997</v>
      </c>
      <c r="BL37" s="191">
        <f>$BO$9+SUMPRODUCT($D$10:D37,$BK$10:BK37)</f>
        <v>-12155291.039598057</v>
      </c>
      <c r="BM37" s="30">
        <f t="shared" si="10"/>
        <v>6</v>
      </c>
      <c r="BN37" s="191">
        <f t="shared" si="13"/>
        <v>0</v>
      </c>
      <c r="BO37" s="192">
        <f t="shared" si="11"/>
        <v>0</v>
      </c>
      <c r="BP37" s="41">
        <f t="shared" si="14"/>
        <v>1445102.6289881465</v>
      </c>
      <c r="BQ37" s="41">
        <f t="shared" si="15"/>
        <v>39740322.297174029</v>
      </c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193">
        <f t="shared" si="17"/>
        <v>29</v>
      </c>
      <c r="B38" s="194">
        <f t="shared" si="17"/>
        <v>2047</v>
      </c>
      <c r="C38" s="29">
        <v>6</v>
      </c>
      <c r="D38" s="191">
        <f t="shared" si="16"/>
        <v>0.18454999999999999</v>
      </c>
      <c r="E38" s="29">
        <v>17394477.149999999</v>
      </c>
      <c r="F38" s="191">
        <f t="shared" si="0"/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169041.89</v>
      </c>
      <c r="M38" s="191">
        <f t="shared" si="1"/>
        <v>1369708.28</v>
      </c>
      <c r="N38" s="29">
        <v>824925.82</v>
      </c>
      <c r="O38" s="29">
        <v>290711.77</v>
      </c>
      <c r="P38" s="29">
        <v>0</v>
      </c>
      <c r="Q38" s="29">
        <v>62258.3</v>
      </c>
      <c r="R38" s="29">
        <v>130831.13</v>
      </c>
      <c r="S38" s="29">
        <v>60981.26</v>
      </c>
      <c r="T38" s="29">
        <v>0</v>
      </c>
      <c r="U38" s="191">
        <f t="shared" si="2"/>
        <v>1047032.03</v>
      </c>
      <c r="V38" s="29">
        <v>630589.56999999995</v>
      </c>
      <c r="W38" s="29">
        <v>222225.81</v>
      </c>
      <c r="X38" s="29">
        <v>0</v>
      </c>
      <c r="Y38" s="29">
        <v>47591.48</v>
      </c>
      <c r="Z38" s="29">
        <v>100009.89</v>
      </c>
      <c r="AA38" s="29">
        <v>46615.28</v>
      </c>
      <c r="AB38" s="29">
        <v>0</v>
      </c>
      <c r="AC38" s="191">
        <f t="shared" si="3"/>
        <v>0</v>
      </c>
      <c r="AD38" s="29">
        <v>0</v>
      </c>
      <c r="AE38" s="29">
        <v>0</v>
      </c>
      <c r="AF38" s="29">
        <v>0</v>
      </c>
      <c r="AG38" s="29">
        <v>0</v>
      </c>
      <c r="AH38" s="191">
        <f t="shared" si="4"/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29">
        <v>894110.31</v>
      </c>
      <c r="AO38" s="29">
        <v>4449466.8653812911</v>
      </c>
      <c r="AP38" s="29">
        <v>0</v>
      </c>
      <c r="AQ38" s="29">
        <v>0</v>
      </c>
      <c r="AR38" s="191">
        <f t="shared" si="5"/>
        <v>7929359.3753800001</v>
      </c>
      <c r="AS38" s="191">
        <f t="shared" si="6"/>
        <v>1536745.83</v>
      </c>
      <c r="AT38" s="29">
        <v>449430.16</v>
      </c>
      <c r="AU38" s="29">
        <v>708807.04</v>
      </c>
      <c r="AV38" s="29">
        <v>0</v>
      </c>
      <c r="AW38" s="29">
        <v>157088.74</v>
      </c>
      <c r="AX38" s="29">
        <v>221419.89</v>
      </c>
      <c r="AY38" s="29">
        <v>0</v>
      </c>
      <c r="AZ38" s="191">
        <f t="shared" si="7"/>
        <v>6007351.6200000001</v>
      </c>
      <c r="BA38" s="29">
        <v>3331233.16</v>
      </c>
      <c r="BB38" s="29">
        <v>1325608.53</v>
      </c>
      <c r="BC38" s="29">
        <v>0</v>
      </c>
      <c r="BD38" s="29">
        <v>165702.01</v>
      </c>
      <c r="BE38" s="29">
        <v>348947.03</v>
      </c>
      <c r="BF38" s="29">
        <v>285487.71999999997</v>
      </c>
      <c r="BG38" s="29">
        <v>0</v>
      </c>
      <c r="BH38" s="29">
        <v>550373.17000000004</v>
      </c>
      <c r="BI38" s="29">
        <v>0</v>
      </c>
      <c r="BJ38" s="191">
        <f t="shared" si="8"/>
        <v>7544097.4500000002</v>
      </c>
      <c r="BK38" s="191">
        <f t="shared" si="9"/>
        <v>385261.92537999997</v>
      </c>
      <c r="BL38" s="191">
        <f>$BO$9+SUMPRODUCT($D$10:D38,$BK$10:BK38)</f>
        <v>-12084190.951269178</v>
      </c>
      <c r="BM38" s="30">
        <f t="shared" si="10"/>
        <v>6</v>
      </c>
      <c r="BN38" s="191">
        <f t="shared" si="13"/>
        <v>0</v>
      </c>
      <c r="BO38" s="192">
        <f t="shared" si="11"/>
        <v>385261.92537999997</v>
      </c>
      <c r="BP38" s="41">
        <f t="shared" si="14"/>
        <v>1328897.078567314</v>
      </c>
      <c r="BQ38" s="41">
        <f t="shared" si="15"/>
        <v>37873566.73916845</v>
      </c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193">
        <f t="shared" si="17"/>
        <v>30</v>
      </c>
      <c r="B39" s="194">
        <f t="shared" si="17"/>
        <v>2048</v>
      </c>
      <c r="C39" s="29">
        <v>6</v>
      </c>
      <c r="D39" s="191">
        <f t="shared" si="16"/>
        <v>0.1741</v>
      </c>
      <c r="E39" s="29">
        <v>17322914.059999999</v>
      </c>
      <c r="F39" s="191">
        <f t="shared" si="0"/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120431.2</v>
      </c>
      <c r="M39" s="191">
        <f t="shared" si="1"/>
        <v>1425421.95</v>
      </c>
      <c r="N39" s="29">
        <v>858456.01</v>
      </c>
      <c r="O39" s="29">
        <v>304813.40999999997</v>
      </c>
      <c r="P39" s="29">
        <v>0</v>
      </c>
      <c r="Q39" s="29">
        <v>63191.22</v>
      </c>
      <c r="R39" s="29">
        <v>135941.91</v>
      </c>
      <c r="S39" s="29">
        <v>63019.4</v>
      </c>
      <c r="T39" s="29">
        <v>0</v>
      </c>
      <c r="U39" s="191">
        <f t="shared" si="2"/>
        <v>1089620.67</v>
      </c>
      <c r="V39" s="29">
        <v>656220.72</v>
      </c>
      <c r="W39" s="29">
        <v>233005.38</v>
      </c>
      <c r="X39" s="29">
        <v>0</v>
      </c>
      <c r="Y39" s="29">
        <v>48304.61</v>
      </c>
      <c r="Z39" s="29">
        <v>103916.68</v>
      </c>
      <c r="AA39" s="29">
        <v>48173.279999999999</v>
      </c>
      <c r="AB39" s="29">
        <v>0</v>
      </c>
      <c r="AC39" s="191">
        <f t="shared" si="3"/>
        <v>0</v>
      </c>
      <c r="AD39" s="29">
        <v>0</v>
      </c>
      <c r="AE39" s="29">
        <v>0</v>
      </c>
      <c r="AF39" s="29">
        <v>0</v>
      </c>
      <c r="AG39" s="29">
        <v>0</v>
      </c>
      <c r="AH39" s="191">
        <f t="shared" si="4"/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932391.59</v>
      </c>
      <c r="AO39" s="29">
        <v>4493961.5340351053</v>
      </c>
      <c r="AP39" s="29">
        <v>0</v>
      </c>
      <c r="AQ39" s="29">
        <v>0</v>
      </c>
      <c r="AR39" s="191">
        <f t="shared" si="5"/>
        <v>8061826.9440400004</v>
      </c>
      <c r="AS39" s="191">
        <f t="shared" si="6"/>
        <v>1094828.4099999999</v>
      </c>
      <c r="AT39" s="29">
        <v>150298.79999999999</v>
      </c>
      <c r="AU39" s="29">
        <v>678726.69</v>
      </c>
      <c r="AV39" s="29">
        <v>0</v>
      </c>
      <c r="AW39" s="29">
        <v>73691.960000000006</v>
      </c>
      <c r="AX39" s="29">
        <v>192110.96</v>
      </c>
      <c r="AY39" s="29">
        <v>0</v>
      </c>
      <c r="AZ39" s="191">
        <f t="shared" si="7"/>
        <v>5810911.4900000002</v>
      </c>
      <c r="BA39" s="29">
        <v>3171432.63</v>
      </c>
      <c r="BB39" s="29">
        <v>1315937.6599999999</v>
      </c>
      <c r="BC39" s="29">
        <v>0</v>
      </c>
      <c r="BD39" s="29">
        <v>166981.63</v>
      </c>
      <c r="BE39" s="29">
        <v>360676.39</v>
      </c>
      <c r="BF39" s="29">
        <v>266227.02</v>
      </c>
      <c r="BG39" s="29">
        <v>0</v>
      </c>
      <c r="BH39" s="29">
        <v>529656.16</v>
      </c>
      <c r="BI39" s="29">
        <v>0</v>
      </c>
      <c r="BJ39" s="191">
        <f t="shared" si="8"/>
        <v>6905739.9000000004</v>
      </c>
      <c r="BK39" s="191">
        <f t="shared" si="9"/>
        <v>1156087.0440400001</v>
      </c>
      <c r="BL39" s="191">
        <f>$BO$9+SUMPRODUCT($D$10:D39,$BK$10:BK39)</f>
        <v>-11882916.196901813</v>
      </c>
      <c r="BM39" s="30">
        <f t="shared" si="10"/>
        <v>6</v>
      </c>
      <c r="BN39" s="191">
        <f t="shared" si="13"/>
        <v>23115.715520000002</v>
      </c>
      <c r="BO39" s="192">
        <f t="shared" si="11"/>
        <v>1564464.6849400001</v>
      </c>
      <c r="BP39" s="41">
        <f t="shared" si="14"/>
        <v>1142959.8820416355</v>
      </c>
      <c r="BQ39" s="41">
        <f t="shared" si="15"/>
        <v>33717316.520228244</v>
      </c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193">
        <f t="shared" si="17"/>
        <v>31</v>
      </c>
      <c r="B40" s="194">
        <f t="shared" si="17"/>
        <v>2049</v>
      </c>
      <c r="C40" s="29">
        <v>6</v>
      </c>
      <c r="D40" s="191">
        <f t="shared" si="16"/>
        <v>0.16425000000000001</v>
      </c>
      <c r="E40" s="29">
        <v>17369184.010000002</v>
      </c>
      <c r="F40" s="191">
        <f t="shared" si="0"/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83499.83</v>
      </c>
      <c r="M40" s="191">
        <f t="shared" si="1"/>
        <v>1473409.8</v>
      </c>
      <c r="N40" s="29">
        <v>903162.7</v>
      </c>
      <c r="O40" s="29">
        <v>306882.44</v>
      </c>
      <c r="P40" s="29">
        <v>0</v>
      </c>
      <c r="Q40" s="29">
        <v>60703.95</v>
      </c>
      <c r="R40" s="29">
        <v>137945.5</v>
      </c>
      <c r="S40" s="29">
        <v>64715.21</v>
      </c>
      <c r="T40" s="29">
        <v>0</v>
      </c>
      <c r="U40" s="191">
        <f t="shared" si="2"/>
        <v>1126303.53</v>
      </c>
      <c r="V40" s="29">
        <v>690395.39</v>
      </c>
      <c r="W40" s="29">
        <v>234587</v>
      </c>
      <c r="X40" s="29">
        <v>0</v>
      </c>
      <c r="Y40" s="29">
        <v>46403.29</v>
      </c>
      <c r="Z40" s="29">
        <v>105448.27</v>
      </c>
      <c r="AA40" s="29">
        <v>49469.58</v>
      </c>
      <c r="AB40" s="29">
        <v>0</v>
      </c>
      <c r="AC40" s="191">
        <f t="shared" si="3"/>
        <v>0</v>
      </c>
      <c r="AD40" s="29">
        <v>0</v>
      </c>
      <c r="AE40" s="29">
        <v>0</v>
      </c>
      <c r="AF40" s="29">
        <v>0</v>
      </c>
      <c r="AG40" s="29">
        <v>0</v>
      </c>
      <c r="AH40" s="191">
        <f t="shared" si="4"/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939689.83</v>
      </c>
      <c r="AO40" s="29">
        <v>4538901.1493754545</v>
      </c>
      <c r="AP40" s="29">
        <v>0</v>
      </c>
      <c r="AQ40" s="29">
        <v>0</v>
      </c>
      <c r="AR40" s="191">
        <f t="shared" si="5"/>
        <v>8161804.1393799996</v>
      </c>
      <c r="AS40" s="191">
        <f t="shared" si="6"/>
        <v>759094.16</v>
      </c>
      <c r="AT40" s="29">
        <v>125762.97</v>
      </c>
      <c r="AU40" s="29">
        <v>424622.42</v>
      </c>
      <c r="AV40" s="29">
        <v>0</v>
      </c>
      <c r="AW40" s="29">
        <v>78111.240000000005</v>
      </c>
      <c r="AX40" s="29">
        <v>130597.53</v>
      </c>
      <c r="AY40" s="29">
        <v>0</v>
      </c>
      <c r="AZ40" s="191">
        <f t="shared" si="7"/>
        <v>5923388.9699999997</v>
      </c>
      <c r="BA40" s="29">
        <v>3270052.32</v>
      </c>
      <c r="BB40" s="29">
        <v>1358046.85</v>
      </c>
      <c r="BC40" s="29">
        <v>0</v>
      </c>
      <c r="BD40" s="29">
        <v>162272.16</v>
      </c>
      <c r="BE40" s="29">
        <v>367480.28</v>
      </c>
      <c r="BF40" s="29">
        <v>271519.84000000003</v>
      </c>
      <c r="BG40" s="29">
        <v>0</v>
      </c>
      <c r="BH40" s="29">
        <v>494017.52</v>
      </c>
      <c r="BI40" s="29">
        <v>0</v>
      </c>
      <c r="BJ40" s="191">
        <f t="shared" si="8"/>
        <v>6682483.1299999999</v>
      </c>
      <c r="BK40" s="191">
        <f t="shared" si="9"/>
        <v>1479321.0093799999</v>
      </c>
      <c r="BL40" s="191">
        <f>$BO$9+SUMPRODUCT($D$10:D40,$BK$10:BK40)</f>
        <v>-11639937.721111149</v>
      </c>
      <c r="BM40" s="30">
        <f t="shared" si="10"/>
        <v>6</v>
      </c>
      <c r="BN40" s="191">
        <f t="shared" si="13"/>
        <v>93867.881099999999</v>
      </c>
      <c r="BO40" s="192">
        <f t="shared" si="11"/>
        <v>3137653.5754200001</v>
      </c>
      <c r="BP40" s="41">
        <f t="shared" si="14"/>
        <v>1046535.8047426568</v>
      </c>
      <c r="BQ40" s="41">
        <f t="shared" si="15"/>
        <v>31919342.044651031</v>
      </c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193">
        <f t="shared" si="17"/>
        <v>32</v>
      </c>
      <c r="B41" s="194">
        <f t="shared" si="17"/>
        <v>2050</v>
      </c>
      <c r="C41" s="29">
        <v>6</v>
      </c>
      <c r="D41" s="191">
        <f t="shared" si="16"/>
        <v>0.15495</v>
      </c>
      <c r="E41" s="29">
        <v>17050601.800000001</v>
      </c>
      <c r="F41" s="191">
        <f t="shared" si="0"/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74805.649999999994</v>
      </c>
      <c r="M41" s="191">
        <f t="shared" si="1"/>
        <v>1497136.9</v>
      </c>
      <c r="N41" s="29">
        <v>914234.33</v>
      </c>
      <c r="O41" s="29">
        <v>315492.77</v>
      </c>
      <c r="P41" s="29">
        <v>0</v>
      </c>
      <c r="Q41" s="29">
        <v>60951.28</v>
      </c>
      <c r="R41" s="29">
        <v>141871.01999999999</v>
      </c>
      <c r="S41" s="29">
        <v>64587.5</v>
      </c>
      <c r="T41" s="29">
        <v>0</v>
      </c>
      <c r="U41" s="191">
        <f t="shared" si="2"/>
        <v>1144441</v>
      </c>
      <c r="V41" s="29">
        <v>698858.77</v>
      </c>
      <c r="W41" s="29">
        <v>241168.9</v>
      </c>
      <c r="X41" s="29">
        <v>0</v>
      </c>
      <c r="Y41" s="29">
        <v>46592.36</v>
      </c>
      <c r="Z41" s="29">
        <v>108449.01</v>
      </c>
      <c r="AA41" s="29">
        <v>49371.96</v>
      </c>
      <c r="AB41" s="29">
        <v>0</v>
      </c>
      <c r="AC41" s="191">
        <f t="shared" si="3"/>
        <v>0</v>
      </c>
      <c r="AD41" s="29">
        <v>0</v>
      </c>
      <c r="AE41" s="29">
        <v>0</v>
      </c>
      <c r="AF41" s="29">
        <v>0</v>
      </c>
      <c r="AG41" s="29">
        <v>0</v>
      </c>
      <c r="AH41" s="191">
        <f t="shared" si="4"/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967746.71</v>
      </c>
      <c r="AO41" s="29">
        <v>4584290.16086921</v>
      </c>
      <c r="AP41" s="29">
        <v>0</v>
      </c>
      <c r="AQ41" s="29">
        <v>0</v>
      </c>
      <c r="AR41" s="191">
        <f t="shared" si="5"/>
        <v>8268420.4208699996</v>
      </c>
      <c r="AS41" s="191">
        <f t="shared" si="6"/>
        <v>680047.95</v>
      </c>
      <c r="AT41" s="29">
        <v>98482.47</v>
      </c>
      <c r="AU41" s="29">
        <v>360329.55</v>
      </c>
      <c r="AV41" s="29">
        <v>0</v>
      </c>
      <c r="AW41" s="29">
        <v>82799.789999999994</v>
      </c>
      <c r="AX41" s="29">
        <v>138436.14000000001</v>
      </c>
      <c r="AY41" s="29">
        <v>0</v>
      </c>
      <c r="AZ41" s="191">
        <f t="shared" si="7"/>
        <v>5554779.5</v>
      </c>
      <c r="BA41" s="29">
        <v>2933132.25</v>
      </c>
      <c r="BB41" s="29">
        <v>1353561.02</v>
      </c>
      <c r="BC41" s="29">
        <v>0</v>
      </c>
      <c r="BD41" s="29">
        <v>159604.60999999999</v>
      </c>
      <c r="BE41" s="29">
        <v>370602.4</v>
      </c>
      <c r="BF41" s="29">
        <v>242290.35</v>
      </c>
      <c r="BG41" s="29">
        <v>0</v>
      </c>
      <c r="BH41" s="29">
        <v>495588.87</v>
      </c>
      <c r="BI41" s="29">
        <v>0</v>
      </c>
      <c r="BJ41" s="191">
        <f t="shared" si="8"/>
        <v>6234827.4500000002</v>
      </c>
      <c r="BK41" s="191">
        <f t="shared" si="9"/>
        <v>2033592.9708700001</v>
      </c>
      <c r="BL41" s="191">
        <f>$BO$9+SUMPRODUCT($D$10:D41,$BK$10:BK41)</f>
        <v>-11324832.490274843</v>
      </c>
      <c r="BM41" s="30">
        <f t="shared" si="10"/>
        <v>6</v>
      </c>
      <c r="BN41" s="191">
        <f t="shared" si="13"/>
        <v>188259.21453</v>
      </c>
      <c r="BO41" s="192">
        <f t="shared" si="11"/>
        <v>5359505.7608200004</v>
      </c>
      <c r="BP41" s="41">
        <f t="shared" si="14"/>
        <v>915628.96543029917</v>
      </c>
      <c r="BQ41" s="41">
        <f t="shared" si="15"/>
        <v>28842312.411054425</v>
      </c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>
      <c r="A42" s="193">
        <f t="shared" si="17"/>
        <v>33</v>
      </c>
      <c r="B42" s="194">
        <f t="shared" si="17"/>
        <v>2051</v>
      </c>
      <c r="C42" s="29">
        <v>6</v>
      </c>
      <c r="D42" s="191">
        <f t="shared" si="16"/>
        <v>0.14618</v>
      </c>
      <c r="E42" s="29">
        <v>17021708.890000001</v>
      </c>
      <c r="F42" s="191">
        <f t="shared" ref="F42:F105" si="18">ROUND(SUM(G42:J42),5)</f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45092.79</v>
      </c>
      <c r="M42" s="191">
        <f t="shared" si="1"/>
        <v>1546362.96</v>
      </c>
      <c r="N42" s="29">
        <v>947208.81</v>
      </c>
      <c r="O42" s="29">
        <v>326004.03999999998</v>
      </c>
      <c r="P42" s="29">
        <v>0</v>
      </c>
      <c r="Q42" s="29">
        <v>61696.01</v>
      </c>
      <c r="R42" s="29">
        <v>145538.78</v>
      </c>
      <c r="S42" s="29">
        <v>65915.320000000007</v>
      </c>
      <c r="T42" s="29">
        <v>0</v>
      </c>
      <c r="U42" s="191">
        <f t="shared" si="2"/>
        <v>1182070.3600000001</v>
      </c>
      <c r="V42" s="29">
        <v>724065.11</v>
      </c>
      <c r="W42" s="29">
        <v>249203.93</v>
      </c>
      <c r="X42" s="29">
        <v>0</v>
      </c>
      <c r="Y42" s="29">
        <v>47161.64</v>
      </c>
      <c r="Z42" s="29">
        <v>111252.71</v>
      </c>
      <c r="AA42" s="29">
        <v>50386.97</v>
      </c>
      <c r="AB42" s="29">
        <v>0</v>
      </c>
      <c r="AC42" s="191">
        <f t="shared" si="3"/>
        <v>0</v>
      </c>
      <c r="AD42" s="29">
        <v>0</v>
      </c>
      <c r="AE42" s="29">
        <v>0</v>
      </c>
      <c r="AF42" s="29">
        <v>0</v>
      </c>
      <c r="AG42" s="29">
        <v>0</v>
      </c>
      <c r="AH42" s="191">
        <f t="shared" si="4"/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29">
        <v>934848.94</v>
      </c>
      <c r="AO42" s="29">
        <v>4630133.0624779025</v>
      </c>
      <c r="AP42" s="29">
        <v>0</v>
      </c>
      <c r="AQ42" s="29">
        <v>0</v>
      </c>
      <c r="AR42" s="191">
        <f t="shared" si="5"/>
        <v>8338508.1124799997</v>
      </c>
      <c r="AS42" s="191">
        <f t="shared" si="6"/>
        <v>409933.19</v>
      </c>
      <c r="AT42" s="29">
        <v>0</v>
      </c>
      <c r="AU42" s="29">
        <v>175424.76</v>
      </c>
      <c r="AV42" s="29">
        <v>0</v>
      </c>
      <c r="AW42" s="29">
        <v>87767.54</v>
      </c>
      <c r="AX42" s="29">
        <v>146740.89000000001</v>
      </c>
      <c r="AY42" s="29">
        <v>0</v>
      </c>
      <c r="AZ42" s="191">
        <f t="shared" si="7"/>
        <v>5648892.7400000002</v>
      </c>
      <c r="BA42" s="29">
        <v>2981647.32</v>
      </c>
      <c r="BB42" s="29">
        <v>1388362.35</v>
      </c>
      <c r="BC42" s="29">
        <v>0</v>
      </c>
      <c r="BD42" s="29">
        <v>159820.5</v>
      </c>
      <c r="BE42" s="29">
        <v>376472.41</v>
      </c>
      <c r="BF42" s="29">
        <v>242994.92</v>
      </c>
      <c r="BG42" s="29">
        <v>0</v>
      </c>
      <c r="BH42" s="29">
        <v>499595.24</v>
      </c>
      <c r="BI42" s="29">
        <v>0</v>
      </c>
      <c r="BJ42" s="191">
        <f t="shared" si="8"/>
        <v>6058825.9299999997</v>
      </c>
      <c r="BK42" s="191">
        <f t="shared" si="9"/>
        <v>2279682.18248</v>
      </c>
      <c r="BL42" s="191">
        <f>$BO$9+SUMPRODUCT($D$10:D42,$BK$10:BK42)</f>
        <v>-10991588.548839916</v>
      </c>
      <c r="BM42" s="30">
        <f t="shared" si="10"/>
        <v>6</v>
      </c>
      <c r="BN42" s="191">
        <f t="shared" si="13"/>
        <v>321570.34564999997</v>
      </c>
      <c r="BO42" s="192">
        <f t="shared" si="11"/>
        <v>7960758.28895</v>
      </c>
      <c r="BP42" s="41">
        <f t="shared" si="14"/>
        <v>836708.29611625581</v>
      </c>
      <c r="BQ42" s="41">
        <f t="shared" si="15"/>
        <v>27193019.623778313</v>
      </c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>
      <c r="A43" s="193">
        <f t="shared" ref="A43:B58" si="19">A42+1</f>
        <v>34</v>
      </c>
      <c r="B43" s="194">
        <f t="shared" si="19"/>
        <v>2052</v>
      </c>
      <c r="C43" s="29">
        <v>6</v>
      </c>
      <c r="D43" s="191">
        <f t="shared" si="16"/>
        <v>0.13791</v>
      </c>
      <c r="E43" s="29">
        <v>16818421.309999999</v>
      </c>
      <c r="F43" s="191">
        <f t="shared" si="18"/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23208.01</v>
      </c>
      <c r="M43" s="191">
        <f t="shared" si="1"/>
        <v>1580118.99</v>
      </c>
      <c r="N43" s="29">
        <v>991291.28</v>
      </c>
      <c r="O43" s="29">
        <v>317414.26</v>
      </c>
      <c r="P43" s="29">
        <v>0</v>
      </c>
      <c r="Q43" s="29">
        <v>58757.760000000002</v>
      </c>
      <c r="R43" s="29">
        <v>146065.13</v>
      </c>
      <c r="S43" s="29">
        <v>66590.559999999998</v>
      </c>
      <c r="T43" s="29">
        <v>0</v>
      </c>
      <c r="U43" s="191">
        <f t="shared" si="2"/>
        <v>1207874.1299999999</v>
      </c>
      <c r="V43" s="29">
        <v>757762.62</v>
      </c>
      <c r="W43" s="29">
        <v>242637.73</v>
      </c>
      <c r="X43" s="29">
        <v>0</v>
      </c>
      <c r="Y43" s="29">
        <v>44915.59</v>
      </c>
      <c r="Z43" s="29">
        <v>111655.06</v>
      </c>
      <c r="AA43" s="29">
        <v>50903.13</v>
      </c>
      <c r="AB43" s="29">
        <v>0</v>
      </c>
      <c r="AC43" s="191">
        <f t="shared" si="3"/>
        <v>0</v>
      </c>
      <c r="AD43" s="29">
        <v>0</v>
      </c>
      <c r="AE43" s="29">
        <v>0</v>
      </c>
      <c r="AF43" s="29">
        <v>0</v>
      </c>
      <c r="AG43" s="29">
        <v>0</v>
      </c>
      <c r="AH43" s="191">
        <f t="shared" si="4"/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958061.78</v>
      </c>
      <c r="AO43" s="29">
        <v>4676434.3931026813</v>
      </c>
      <c r="AP43" s="29">
        <v>0</v>
      </c>
      <c r="AQ43" s="29">
        <v>0</v>
      </c>
      <c r="AR43" s="191">
        <f t="shared" si="5"/>
        <v>8445697.3030999992</v>
      </c>
      <c r="AS43" s="191">
        <f t="shared" si="6"/>
        <v>210983.84</v>
      </c>
      <c r="AT43" s="29">
        <v>0</v>
      </c>
      <c r="AU43" s="29">
        <v>0</v>
      </c>
      <c r="AV43" s="29">
        <v>0</v>
      </c>
      <c r="AW43" s="29">
        <v>93030.35</v>
      </c>
      <c r="AX43" s="29">
        <v>117953.49</v>
      </c>
      <c r="AY43" s="29">
        <v>0</v>
      </c>
      <c r="AZ43" s="191">
        <f t="shared" si="7"/>
        <v>5640497.4199999999</v>
      </c>
      <c r="BA43" s="29">
        <v>3099963.37</v>
      </c>
      <c r="BB43" s="29">
        <v>1327880.57</v>
      </c>
      <c r="BC43" s="29">
        <v>0</v>
      </c>
      <c r="BD43" s="29">
        <v>153294.12</v>
      </c>
      <c r="BE43" s="29">
        <v>378332.38</v>
      </c>
      <c r="BF43" s="29">
        <v>241975.02</v>
      </c>
      <c r="BG43" s="29">
        <v>0</v>
      </c>
      <c r="BH43" s="29">
        <v>439051.96</v>
      </c>
      <c r="BI43" s="29">
        <v>0</v>
      </c>
      <c r="BJ43" s="191">
        <f t="shared" si="8"/>
        <v>5851481.2599999998</v>
      </c>
      <c r="BK43" s="191">
        <f t="shared" si="9"/>
        <v>2594216.0430999999</v>
      </c>
      <c r="BL43" s="191">
        <f>$BO$9+SUMPRODUCT($D$10:D43,$BK$10:BK43)</f>
        <v>-10633820.214335995</v>
      </c>
      <c r="BM43" s="30">
        <f t="shared" si="10"/>
        <v>6</v>
      </c>
      <c r="BN43" s="191">
        <f t="shared" si="13"/>
        <v>477645.49734</v>
      </c>
      <c r="BO43" s="192">
        <f t="shared" si="11"/>
        <v>11032619.829390001</v>
      </c>
      <c r="BP43" s="41">
        <f t="shared" si="14"/>
        <v>768503.32356828824</v>
      </c>
      <c r="BQ43" s="41">
        <f t="shared" si="15"/>
        <v>25744861.339537658</v>
      </c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>
      <c r="A44" s="193">
        <f t="shared" si="19"/>
        <v>35</v>
      </c>
      <c r="B44" s="194">
        <f t="shared" si="19"/>
        <v>2053</v>
      </c>
      <c r="C44" s="29">
        <v>6</v>
      </c>
      <c r="D44" s="191">
        <f t="shared" si="16"/>
        <v>0.13009999999999999</v>
      </c>
      <c r="E44" s="29">
        <v>15932902.630000001</v>
      </c>
      <c r="F44" s="191">
        <f t="shared" si="18"/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13542.37</v>
      </c>
      <c r="M44" s="191">
        <f t="shared" si="1"/>
        <v>1537009.42</v>
      </c>
      <c r="N44" s="29">
        <v>992426.86</v>
      </c>
      <c r="O44" s="29">
        <v>285258.94</v>
      </c>
      <c r="P44" s="29">
        <v>0</v>
      </c>
      <c r="Q44" s="29">
        <v>54595.519999999997</v>
      </c>
      <c r="R44" s="29">
        <v>142057.17000000001</v>
      </c>
      <c r="S44" s="29">
        <v>62670.93</v>
      </c>
      <c r="T44" s="29">
        <v>0</v>
      </c>
      <c r="U44" s="191">
        <f t="shared" si="2"/>
        <v>1174920.3400000001</v>
      </c>
      <c r="V44" s="29">
        <v>758630.68</v>
      </c>
      <c r="W44" s="29">
        <v>218057.57</v>
      </c>
      <c r="X44" s="29">
        <v>0</v>
      </c>
      <c r="Y44" s="29">
        <v>41733.89</v>
      </c>
      <c r="Z44" s="29">
        <v>108591.3</v>
      </c>
      <c r="AA44" s="29">
        <v>47906.9</v>
      </c>
      <c r="AB44" s="29">
        <v>0</v>
      </c>
      <c r="AC44" s="191">
        <f t="shared" si="3"/>
        <v>0</v>
      </c>
      <c r="AD44" s="29">
        <v>0</v>
      </c>
      <c r="AE44" s="29">
        <v>0</v>
      </c>
      <c r="AF44" s="29">
        <v>0</v>
      </c>
      <c r="AG44" s="29">
        <v>0</v>
      </c>
      <c r="AH44" s="191">
        <f t="shared" si="4"/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966543.77</v>
      </c>
      <c r="AO44" s="29">
        <v>4723198.7370337071</v>
      </c>
      <c r="AP44" s="29">
        <v>0</v>
      </c>
      <c r="AQ44" s="29">
        <v>0</v>
      </c>
      <c r="AR44" s="191">
        <f t="shared" si="5"/>
        <v>8415214.6370299999</v>
      </c>
      <c r="AS44" s="191">
        <f t="shared" si="6"/>
        <v>123117.31</v>
      </c>
      <c r="AT44" s="29">
        <v>0</v>
      </c>
      <c r="AU44" s="29">
        <v>0</v>
      </c>
      <c r="AV44" s="29">
        <v>0</v>
      </c>
      <c r="AW44" s="29">
        <v>41833.03</v>
      </c>
      <c r="AX44" s="29">
        <v>81284.28</v>
      </c>
      <c r="AY44" s="29">
        <v>0</v>
      </c>
      <c r="AZ44" s="191">
        <f t="shared" si="7"/>
        <v>4904810.2699999996</v>
      </c>
      <c r="BA44" s="29">
        <v>2930194.44</v>
      </c>
      <c r="BB44" s="29">
        <v>872269.61</v>
      </c>
      <c r="BC44" s="29">
        <v>0</v>
      </c>
      <c r="BD44" s="29">
        <v>139170.9</v>
      </c>
      <c r="BE44" s="29">
        <v>359821.77</v>
      </c>
      <c r="BF44" s="29">
        <v>194604.53</v>
      </c>
      <c r="BG44" s="29">
        <v>0</v>
      </c>
      <c r="BH44" s="29">
        <v>408749.02</v>
      </c>
      <c r="BI44" s="29">
        <v>0</v>
      </c>
      <c r="BJ44" s="191">
        <f t="shared" si="8"/>
        <v>5027927.58</v>
      </c>
      <c r="BK44" s="191">
        <f t="shared" si="9"/>
        <v>3387287.0570299998</v>
      </c>
      <c r="BL44" s="191">
        <f>$BO$9+SUMPRODUCT($D$10:D44,$BK$10:BK44)</f>
        <v>-10193134.168216392</v>
      </c>
      <c r="BM44" s="30">
        <f t="shared" si="10"/>
        <v>6</v>
      </c>
      <c r="BN44" s="191">
        <f t="shared" si="13"/>
        <v>661957.18975999998</v>
      </c>
      <c r="BO44" s="192">
        <f t="shared" si="11"/>
        <v>15081864.07618</v>
      </c>
      <c r="BP44" s="41">
        <f t="shared" si="14"/>
        <v>618745.99251863698</v>
      </c>
      <c r="BQ44" s="41">
        <f t="shared" si="15"/>
        <v>21346736.741892975</v>
      </c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>
      <c r="A45" s="193">
        <f t="shared" si="19"/>
        <v>36</v>
      </c>
      <c r="B45" s="194">
        <f t="shared" si="19"/>
        <v>2054</v>
      </c>
      <c r="C45" s="29">
        <v>6</v>
      </c>
      <c r="D45" s="191">
        <f t="shared" si="16"/>
        <v>0.12274</v>
      </c>
      <c r="E45" s="29">
        <v>15775925.32</v>
      </c>
      <c r="F45" s="191">
        <f t="shared" si="18"/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9842.9500000000007</v>
      </c>
      <c r="M45" s="191">
        <f t="shared" si="1"/>
        <v>1568749.73</v>
      </c>
      <c r="N45" s="29">
        <v>1012273.19</v>
      </c>
      <c r="O45" s="29">
        <v>291288.31</v>
      </c>
      <c r="P45" s="29">
        <v>0</v>
      </c>
      <c r="Q45" s="29">
        <v>56109.99</v>
      </c>
      <c r="R45" s="29">
        <v>145883.59</v>
      </c>
      <c r="S45" s="29">
        <v>63194.65</v>
      </c>
      <c r="T45" s="29">
        <v>0</v>
      </c>
      <c r="U45" s="191">
        <f t="shared" si="2"/>
        <v>1199183.24</v>
      </c>
      <c r="V45" s="29">
        <v>773801.6</v>
      </c>
      <c r="W45" s="29">
        <v>222666.53</v>
      </c>
      <c r="X45" s="29">
        <v>0</v>
      </c>
      <c r="Y45" s="29">
        <v>42891.59</v>
      </c>
      <c r="Z45" s="29">
        <v>111516.29</v>
      </c>
      <c r="AA45" s="29">
        <v>48307.23</v>
      </c>
      <c r="AB45" s="29">
        <v>0</v>
      </c>
      <c r="AC45" s="191">
        <f t="shared" si="3"/>
        <v>0</v>
      </c>
      <c r="AD45" s="29">
        <v>0</v>
      </c>
      <c r="AE45" s="29">
        <v>0</v>
      </c>
      <c r="AF45" s="29">
        <v>0</v>
      </c>
      <c r="AG45" s="29">
        <v>0</v>
      </c>
      <c r="AH45" s="191">
        <f t="shared" si="4"/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870328.51</v>
      </c>
      <c r="AO45" s="29">
        <v>0</v>
      </c>
      <c r="AP45" s="29">
        <v>0</v>
      </c>
      <c r="AQ45" s="29">
        <v>0</v>
      </c>
      <c r="AR45" s="191">
        <f t="shared" si="5"/>
        <v>3648104.43</v>
      </c>
      <c r="AS45" s="191">
        <f t="shared" si="6"/>
        <v>89481.33</v>
      </c>
      <c r="AT45" s="29">
        <v>0</v>
      </c>
      <c r="AU45" s="29">
        <v>0</v>
      </c>
      <c r="AV45" s="29">
        <v>0</v>
      </c>
      <c r="AW45" s="29">
        <v>44340.89</v>
      </c>
      <c r="AX45" s="29">
        <v>45140.44</v>
      </c>
      <c r="AY45" s="29">
        <v>0</v>
      </c>
      <c r="AZ45" s="191">
        <f t="shared" si="7"/>
        <v>4762000.76</v>
      </c>
      <c r="BA45" s="29">
        <v>2941818.3</v>
      </c>
      <c r="BB45" s="29">
        <v>761719.78</v>
      </c>
      <c r="BC45" s="29">
        <v>0</v>
      </c>
      <c r="BD45" s="29">
        <v>140859.73000000001</v>
      </c>
      <c r="BE45" s="29">
        <v>363681.63</v>
      </c>
      <c r="BF45" s="29">
        <v>185108.34</v>
      </c>
      <c r="BG45" s="29">
        <v>0</v>
      </c>
      <c r="BH45" s="29">
        <v>368812.98</v>
      </c>
      <c r="BI45" s="29">
        <v>0</v>
      </c>
      <c r="BJ45" s="191">
        <f t="shared" si="8"/>
        <v>4851482.09</v>
      </c>
      <c r="BK45" s="191">
        <f t="shared" si="9"/>
        <v>-1203377.6599999999</v>
      </c>
      <c r="BL45" s="191">
        <f>$BO$9+SUMPRODUCT($D$10:D45,$BK$10:BK45)</f>
        <v>-10340836.742204793</v>
      </c>
      <c r="BM45" s="30">
        <f t="shared" si="10"/>
        <v>6</v>
      </c>
      <c r="BN45" s="191">
        <f t="shared" si="13"/>
        <v>904911.84456999996</v>
      </c>
      <c r="BO45" s="192">
        <f t="shared" si="11"/>
        <v>14783398.260749999</v>
      </c>
      <c r="BP45" s="41">
        <f t="shared" si="14"/>
        <v>566472.02273638884</v>
      </c>
      <c r="BQ45" s="41">
        <f t="shared" si="15"/>
        <v>20109756.807141803</v>
      </c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>
      <c r="A46" s="193">
        <f t="shared" si="19"/>
        <v>37</v>
      </c>
      <c r="B46" s="194">
        <f t="shared" si="19"/>
        <v>2055</v>
      </c>
      <c r="C46" s="29">
        <v>6</v>
      </c>
      <c r="D46" s="191">
        <f t="shared" si="16"/>
        <v>0.11579</v>
      </c>
      <c r="E46" s="29">
        <v>15619060.310000001</v>
      </c>
      <c r="F46" s="191">
        <f t="shared" si="18"/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10433.530000000001</v>
      </c>
      <c r="M46" s="191">
        <f t="shared" si="1"/>
        <v>1591318.19</v>
      </c>
      <c r="N46" s="29">
        <v>1027572.76</v>
      </c>
      <c r="O46" s="29">
        <v>295449.36</v>
      </c>
      <c r="P46" s="29">
        <v>0</v>
      </c>
      <c r="Q46" s="29">
        <v>56157.31</v>
      </c>
      <c r="R46" s="29">
        <v>148884.28</v>
      </c>
      <c r="S46" s="29">
        <v>63254.48</v>
      </c>
      <c r="T46" s="29">
        <v>0</v>
      </c>
      <c r="U46" s="191">
        <f t="shared" si="2"/>
        <v>1216435.04</v>
      </c>
      <c r="V46" s="29">
        <v>785496.89</v>
      </c>
      <c r="W46" s="29">
        <v>225847.33</v>
      </c>
      <c r="X46" s="29">
        <v>0</v>
      </c>
      <c r="Y46" s="29">
        <v>42927.76</v>
      </c>
      <c r="Z46" s="29">
        <v>113810.09</v>
      </c>
      <c r="AA46" s="29">
        <v>48352.97</v>
      </c>
      <c r="AB46" s="29">
        <v>0</v>
      </c>
      <c r="AC46" s="191">
        <f t="shared" si="3"/>
        <v>0</v>
      </c>
      <c r="AD46" s="29">
        <v>0</v>
      </c>
      <c r="AE46" s="29">
        <v>0</v>
      </c>
      <c r="AF46" s="29">
        <v>0</v>
      </c>
      <c r="AG46" s="29">
        <v>0</v>
      </c>
      <c r="AH46" s="191">
        <f t="shared" si="4"/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863094.97</v>
      </c>
      <c r="AO46" s="29">
        <v>0</v>
      </c>
      <c r="AP46" s="29">
        <v>0</v>
      </c>
      <c r="AQ46" s="29">
        <v>0</v>
      </c>
      <c r="AR46" s="191">
        <f t="shared" si="5"/>
        <v>3681281.73</v>
      </c>
      <c r="AS46" s="191">
        <f t="shared" si="6"/>
        <v>94852.2</v>
      </c>
      <c r="AT46" s="29">
        <v>0</v>
      </c>
      <c r="AU46" s="29">
        <v>0</v>
      </c>
      <c r="AV46" s="29">
        <v>0</v>
      </c>
      <c r="AW46" s="29">
        <v>47002.34</v>
      </c>
      <c r="AX46" s="29">
        <v>47849.86</v>
      </c>
      <c r="AY46" s="29">
        <v>0</v>
      </c>
      <c r="AZ46" s="191">
        <f t="shared" si="7"/>
        <v>4685355.84</v>
      </c>
      <c r="BA46" s="29">
        <v>2868792.75</v>
      </c>
      <c r="BB46" s="29">
        <v>776724.34</v>
      </c>
      <c r="BC46" s="29">
        <v>0</v>
      </c>
      <c r="BD46" s="29">
        <v>139318.31</v>
      </c>
      <c r="BE46" s="29">
        <v>366962.52</v>
      </c>
      <c r="BF46" s="29">
        <v>178691.83</v>
      </c>
      <c r="BG46" s="29">
        <v>0</v>
      </c>
      <c r="BH46" s="29">
        <v>354866.09</v>
      </c>
      <c r="BI46" s="29">
        <v>0</v>
      </c>
      <c r="BJ46" s="191">
        <f t="shared" si="8"/>
        <v>4780208.04</v>
      </c>
      <c r="BK46" s="191">
        <f t="shared" si="9"/>
        <v>-1098926.31</v>
      </c>
      <c r="BL46" s="191">
        <f>$BO$9+SUMPRODUCT($D$10:D46,$BK$10:BK46)</f>
        <v>-10468081.419639694</v>
      </c>
      <c r="BM46" s="30">
        <f t="shared" si="10"/>
        <v>6</v>
      </c>
      <c r="BN46" s="191">
        <f t="shared" si="13"/>
        <v>887003.89564999996</v>
      </c>
      <c r="BO46" s="192">
        <f t="shared" si="11"/>
        <v>14571475.8464</v>
      </c>
      <c r="BP46" s="41">
        <f t="shared" si="14"/>
        <v>527573.23232546251</v>
      </c>
      <c r="BQ46" s="41">
        <f t="shared" si="15"/>
        <v>19256422.979879383</v>
      </c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>
      <c r="A47" s="193">
        <f t="shared" si="19"/>
        <v>38</v>
      </c>
      <c r="B47" s="194">
        <f t="shared" si="19"/>
        <v>2056</v>
      </c>
      <c r="C47" s="29">
        <v>6</v>
      </c>
      <c r="D47" s="191">
        <f t="shared" si="16"/>
        <v>0.10924</v>
      </c>
      <c r="E47" s="29">
        <v>15643321.470000001</v>
      </c>
      <c r="F47" s="191">
        <f t="shared" si="18"/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11059.54</v>
      </c>
      <c r="M47" s="191">
        <f t="shared" si="1"/>
        <v>1644702.64</v>
      </c>
      <c r="N47" s="29">
        <v>1056182.3799999999</v>
      </c>
      <c r="O47" s="29">
        <v>313164.51</v>
      </c>
      <c r="P47" s="29">
        <v>0</v>
      </c>
      <c r="Q47" s="29">
        <v>57446.35</v>
      </c>
      <c r="R47" s="29">
        <v>153107.88</v>
      </c>
      <c r="S47" s="29">
        <v>64801.52</v>
      </c>
      <c r="T47" s="29">
        <v>0</v>
      </c>
      <c r="U47" s="191">
        <f t="shared" si="2"/>
        <v>1257243.1599999999</v>
      </c>
      <c r="V47" s="29">
        <v>807366.65</v>
      </c>
      <c r="W47" s="29">
        <v>239389.14</v>
      </c>
      <c r="X47" s="29">
        <v>0</v>
      </c>
      <c r="Y47" s="29">
        <v>43913.120000000003</v>
      </c>
      <c r="Z47" s="29">
        <v>117038.69</v>
      </c>
      <c r="AA47" s="29">
        <v>49535.56</v>
      </c>
      <c r="AB47" s="29">
        <v>0</v>
      </c>
      <c r="AC47" s="191">
        <f t="shared" si="3"/>
        <v>0</v>
      </c>
      <c r="AD47" s="29">
        <v>0</v>
      </c>
      <c r="AE47" s="29">
        <v>0</v>
      </c>
      <c r="AF47" s="29">
        <v>0</v>
      </c>
      <c r="AG47" s="29">
        <v>0</v>
      </c>
      <c r="AH47" s="191">
        <f t="shared" si="4"/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859173.51</v>
      </c>
      <c r="AO47" s="29">
        <v>0</v>
      </c>
      <c r="AP47" s="29">
        <v>0</v>
      </c>
      <c r="AQ47" s="29">
        <v>0</v>
      </c>
      <c r="AR47" s="191">
        <f t="shared" si="5"/>
        <v>3772178.85</v>
      </c>
      <c r="AS47" s="191">
        <f t="shared" si="6"/>
        <v>100539.21</v>
      </c>
      <c r="AT47" s="29">
        <v>0</v>
      </c>
      <c r="AU47" s="29">
        <v>0</v>
      </c>
      <c r="AV47" s="29">
        <v>0</v>
      </c>
      <c r="AW47" s="29">
        <v>49820.42</v>
      </c>
      <c r="AX47" s="29">
        <v>50718.79</v>
      </c>
      <c r="AY47" s="29">
        <v>0</v>
      </c>
      <c r="AZ47" s="191">
        <f t="shared" si="7"/>
        <v>4742875.79</v>
      </c>
      <c r="BA47" s="29">
        <v>2908027.26</v>
      </c>
      <c r="BB47" s="29">
        <v>823296.54</v>
      </c>
      <c r="BC47" s="29">
        <v>0</v>
      </c>
      <c r="BD47" s="29">
        <v>141270.63</v>
      </c>
      <c r="BE47" s="29">
        <v>374796.72</v>
      </c>
      <c r="BF47" s="29">
        <v>180738.06</v>
      </c>
      <c r="BG47" s="29">
        <v>0</v>
      </c>
      <c r="BH47" s="29">
        <v>314746.58</v>
      </c>
      <c r="BI47" s="29">
        <v>0</v>
      </c>
      <c r="BJ47" s="191">
        <f t="shared" si="8"/>
        <v>4843415</v>
      </c>
      <c r="BK47" s="191">
        <f t="shared" si="9"/>
        <v>-1071236.1499999999</v>
      </c>
      <c r="BL47" s="191">
        <f>$BO$9+SUMPRODUCT($D$10:D47,$BK$10:BK47)</f>
        <v>-10585103.256665694</v>
      </c>
      <c r="BM47" s="30">
        <f t="shared" si="10"/>
        <v>6</v>
      </c>
      <c r="BN47" s="191">
        <f t="shared" si="13"/>
        <v>874288.55078000005</v>
      </c>
      <c r="BO47" s="192">
        <f t="shared" si="11"/>
        <v>14374528.24718</v>
      </c>
      <c r="BP47" s="41">
        <f t="shared" si="14"/>
        <v>509331.54686959711</v>
      </c>
      <c r="BQ47" s="41">
        <f t="shared" si="15"/>
        <v>19099933.007609893</v>
      </c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>
      <c r="A48" s="193">
        <f t="shared" si="19"/>
        <v>39</v>
      </c>
      <c r="B48" s="194">
        <f t="shared" si="19"/>
        <v>2057</v>
      </c>
      <c r="C48" s="29">
        <v>6</v>
      </c>
      <c r="D48" s="191">
        <f t="shared" si="16"/>
        <v>0.10306</v>
      </c>
      <c r="E48" s="29">
        <v>14770479.51</v>
      </c>
      <c r="F48" s="191">
        <f t="shared" si="18"/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5913.93</v>
      </c>
      <c r="M48" s="191">
        <f t="shared" si="1"/>
        <v>1592381.4</v>
      </c>
      <c r="N48" s="29">
        <v>1023920.87</v>
      </c>
      <c r="O48" s="29">
        <v>306138.18</v>
      </c>
      <c r="P48" s="29">
        <v>0</v>
      </c>
      <c r="Q48" s="29">
        <v>54882.67</v>
      </c>
      <c r="R48" s="29">
        <v>146365.99</v>
      </c>
      <c r="S48" s="29">
        <v>61073.69</v>
      </c>
      <c r="T48" s="29">
        <v>0</v>
      </c>
      <c r="U48" s="191">
        <f t="shared" si="2"/>
        <v>1217247.78</v>
      </c>
      <c r="V48" s="29">
        <v>782705.32</v>
      </c>
      <c r="W48" s="29">
        <v>234018.07</v>
      </c>
      <c r="X48" s="29">
        <v>0</v>
      </c>
      <c r="Y48" s="29">
        <v>41953.4</v>
      </c>
      <c r="Z48" s="29">
        <v>111885.05</v>
      </c>
      <c r="AA48" s="29">
        <v>46685.94</v>
      </c>
      <c r="AB48" s="29">
        <v>0</v>
      </c>
      <c r="AC48" s="191">
        <f t="shared" si="3"/>
        <v>0</v>
      </c>
      <c r="AD48" s="29">
        <v>0</v>
      </c>
      <c r="AE48" s="29">
        <v>0</v>
      </c>
      <c r="AF48" s="29">
        <v>0</v>
      </c>
      <c r="AG48" s="29">
        <v>0</v>
      </c>
      <c r="AH48" s="191">
        <f t="shared" si="4"/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879129.48</v>
      </c>
      <c r="AO48" s="29">
        <v>0</v>
      </c>
      <c r="AP48" s="29">
        <v>0</v>
      </c>
      <c r="AQ48" s="29">
        <v>0</v>
      </c>
      <c r="AR48" s="191">
        <f t="shared" si="5"/>
        <v>3694672.59</v>
      </c>
      <c r="AS48" s="191">
        <f t="shared" si="6"/>
        <v>53760.98</v>
      </c>
      <c r="AT48" s="29">
        <v>0</v>
      </c>
      <c r="AU48" s="29">
        <v>0</v>
      </c>
      <c r="AV48" s="29">
        <v>0</v>
      </c>
      <c r="AW48" s="29">
        <v>0</v>
      </c>
      <c r="AX48" s="29">
        <v>53760.98</v>
      </c>
      <c r="AY48" s="29">
        <v>0</v>
      </c>
      <c r="AZ48" s="191">
        <f t="shared" si="7"/>
        <v>4429496.95</v>
      </c>
      <c r="BA48" s="29">
        <v>2730143.89</v>
      </c>
      <c r="BB48" s="29">
        <v>761013.69</v>
      </c>
      <c r="BC48" s="29">
        <v>0</v>
      </c>
      <c r="BD48" s="29">
        <v>132269.35</v>
      </c>
      <c r="BE48" s="29">
        <v>349762.68</v>
      </c>
      <c r="BF48" s="29">
        <v>163135.64000000001</v>
      </c>
      <c r="BG48" s="29">
        <v>0</v>
      </c>
      <c r="BH48" s="29">
        <v>293171.7</v>
      </c>
      <c r="BI48" s="29">
        <v>0</v>
      </c>
      <c r="BJ48" s="191">
        <f t="shared" si="8"/>
        <v>4483257.93</v>
      </c>
      <c r="BK48" s="191">
        <f t="shared" si="9"/>
        <v>-788585.34</v>
      </c>
      <c r="BL48" s="191">
        <f>$BO$9+SUMPRODUCT($D$10:D48,$BK$10:BK48)</f>
        <v>-10666374.861806093</v>
      </c>
      <c r="BM48" s="30">
        <f t="shared" si="10"/>
        <v>6</v>
      </c>
      <c r="BN48" s="191">
        <f t="shared" si="13"/>
        <v>862471.69483000005</v>
      </c>
      <c r="BO48" s="192">
        <f t="shared" si="11"/>
        <v>14448414.60201</v>
      </c>
      <c r="BP48" s="41">
        <f t="shared" si="14"/>
        <v>444577.1607526255</v>
      </c>
      <c r="BQ48" s="41">
        <f t="shared" si="15"/>
        <v>17116220.688976083</v>
      </c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>
      <c r="A49" s="193">
        <f t="shared" si="19"/>
        <v>40</v>
      </c>
      <c r="B49" s="194">
        <f t="shared" si="19"/>
        <v>2058</v>
      </c>
      <c r="C49" s="29">
        <v>6</v>
      </c>
      <c r="D49" s="191">
        <f t="shared" si="16"/>
        <v>9.7229999999999997E-2</v>
      </c>
      <c r="E49" s="29">
        <v>14512666.34</v>
      </c>
      <c r="F49" s="191">
        <f t="shared" si="18"/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6267.77</v>
      </c>
      <c r="M49" s="191">
        <f t="shared" si="1"/>
        <v>1607027.85</v>
      </c>
      <c r="N49" s="29">
        <v>1036518.2</v>
      </c>
      <c r="O49" s="29">
        <v>307396.38</v>
      </c>
      <c r="P49" s="29">
        <v>0</v>
      </c>
      <c r="Q49" s="29">
        <v>54281.41</v>
      </c>
      <c r="R49" s="29">
        <v>148058.01</v>
      </c>
      <c r="S49" s="29">
        <v>60773.85</v>
      </c>
      <c r="T49" s="29">
        <v>0</v>
      </c>
      <c r="U49" s="191">
        <f t="shared" si="2"/>
        <v>1228443.8</v>
      </c>
      <c r="V49" s="29">
        <v>792334.97</v>
      </c>
      <c r="W49" s="29">
        <v>234979.86</v>
      </c>
      <c r="X49" s="29">
        <v>0</v>
      </c>
      <c r="Y49" s="29">
        <v>41493.78</v>
      </c>
      <c r="Z49" s="29">
        <v>113178.46</v>
      </c>
      <c r="AA49" s="29">
        <v>46456.73</v>
      </c>
      <c r="AB49" s="29">
        <v>0</v>
      </c>
      <c r="AC49" s="191">
        <f t="shared" si="3"/>
        <v>0</v>
      </c>
      <c r="AD49" s="29">
        <v>0</v>
      </c>
      <c r="AE49" s="29">
        <v>0</v>
      </c>
      <c r="AF49" s="29">
        <v>0</v>
      </c>
      <c r="AG49" s="29">
        <v>0</v>
      </c>
      <c r="AH49" s="191">
        <f t="shared" si="4"/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822199.26</v>
      </c>
      <c r="AO49" s="29">
        <v>0</v>
      </c>
      <c r="AP49" s="29">
        <v>0</v>
      </c>
      <c r="AQ49" s="29">
        <v>0</v>
      </c>
      <c r="AR49" s="191">
        <f t="shared" si="5"/>
        <v>3663938.68</v>
      </c>
      <c r="AS49" s="191">
        <f t="shared" si="6"/>
        <v>56983.76</v>
      </c>
      <c r="AT49" s="29">
        <v>0</v>
      </c>
      <c r="AU49" s="29">
        <v>0</v>
      </c>
      <c r="AV49" s="29">
        <v>0</v>
      </c>
      <c r="AW49" s="29">
        <v>0</v>
      </c>
      <c r="AX49" s="29">
        <v>56983.76</v>
      </c>
      <c r="AY49" s="29">
        <v>0</v>
      </c>
      <c r="AZ49" s="191">
        <f t="shared" si="7"/>
        <v>4402401.59</v>
      </c>
      <c r="BA49" s="29">
        <v>2717935.43</v>
      </c>
      <c r="BB49" s="29">
        <v>765842.13</v>
      </c>
      <c r="BC49" s="29">
        <v>0</v>
      </c>
      <c r="BD49" s="29">
        <v>129405.04</v>
      </c>
      <c r="BE49" s="29">
        <v>350550.25</v>
      </c>
      <c r="BF49" s="29">
        <v>160150.59</v>
      </c>
      <c r="BG49" s="29">
        <v>0</v>
      </c>
      <c r="BH49" s="29">
        <v>278518.15000000002</v>
      </c>
      <c r="BI49" s="29">
        <v>0</v>
      </c>
      <c r="BJ49" s="191">
        <f t="shared" si="8"/>
        <v>4459385.3499999996</v>
      </c>
      <c r="BK49" s="191">
        <f t="shared" si="9"/>
        <v>-795446.67</v>
      </c>
      <c r="BL49" s="191">
        <f>$BO$9+SUMPRODUCT($D$10:D49,$BK$10:BK49)</f>
        <v>-10743716.141530193</v>
      </c>
      <c r="BM49" s="30">
        <f t="shared" si="10"/>
        <v>6</v>
      </c>
      <c r="BN49" s="191">
        <f t="shared" si="13"/>
        <v>866904.87612000003</v>
      </c>
      <c r="BO49" s="192">
        <f t="shared" si="11"/>
        <v>14519872.80813</v>
      </c>
      <c r="BP49" s="41">
        <f t="shared" si="14"/>
        <v>418489.62437921588</v>
      </c>
      <c r="BQ49" s="41">
        <f t="shared" si="15"/>
        <v>16530340.162979027</v>
      </c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>
      <c r="A50" s="193">
        <f t="shared" si="19"/>
        <v>41</v>
      </c>
      <c r="B50" s="194">
        <f t="shared" si="19"/>
        <v>2059</v>
      </c>
      <c r="C50" s="29">
        <v>6</v>
      </c>
      <c r="D50" s="191">
        <f t="shared" si="16"/>
        <v>9.1730000000000006E-2</v>
      </c>
      <c r="E50" s="29">
        <v>14400035.99</v>
      </c>
      <c r="F50" s="191">
        <f t="shared" si="18"/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6643.89</v>
      </c>
      <c r="M50" s="191">
        <f t="shared" si="1"/>
        <v>1634541.69</v>
      </c>
      <c r="N50" s="29">
        <v>1058339.6100000001</v>
      </c>
      <c r="O50" s="29">
        <v>307531.25</v>
      </c>
      <c r="P50" s="29">
        <v>0</v>
      </c>
      <c r="Q50" s="29">
        <v>55399.92</v>
      </c>
      <c r="R50" s="29">
        <v>152118.39999999999</v>
      </c>
      <c r="S50" s="29">
        <v>61152.51</v>
      </c>
      <c r="T50" s="29">
        <v>0</v>
      </c>
      <c r="U50" s="191">
        <f t="shared" si="2"/>
        <v>1249475.94</v>
      </c>
      <c r="V50" s="29">
        <v>809015.69</v>
      </c>
      <c r="W50" s="29">
        <v>235082.96</v>
      </c>
      <c r="X50" s="29">
        <v>0</v>
      </c>
      <c r="Y50" s="29">
        <v>42348.800000000003</v>
      </c>
      <c r="Z50" s="29">
        <v>116282.31</v>
      </c>
      <c r="AA50" s="29">
        <v>46746.18</v>
      </c>
      <c r="AB50" s="29">
        <v>0</v>
      </c>
      <c r="AC50" s="191">
        <f t="shared" si="3"/>
        <v>0</v>
      </c>
      <c r="AD50" s="29">
        <v>0</v>
      </c>
      <c r="AE50" s="29">
        <v>0</v>
      </c>
      <c r="AF50" s="29">
        <v>0</v>
      </c>
      <c r="AG50" s="29">
        <v>0</v>
      </c>
      <c r="AH50" s="191">
        <f t="shared" si="4"/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821568.37</v>
      </c>
      <c r="AO50" s="29">
        <v>0</v>
      </c>
      <c r="AP50" s="29">
        <v>0</v>
      </c>
      <c r="AQ50" s="29">
        <v>0</v>
      </c>
      <c r="AR50" s="191">
        <f t="shared" si="5"/>
        <v>3712229.89</v>
      </c>
      <c r="AS50" s="191">
        <f t="shared" si="6"/>
        <v>60401.08</v>
      </c>
      <c r="AT50" s="29">
        <v>0</v>
      </c>
      <c r="AU50" s="29">
        <v>0</v>
      </c>
      <c r="AV50" s="29">
        <v>0</v>
      </c>
      <c r="AW50" s="29">
        <v>0</v>
      </c>
      <c r="AX50" s="29">
        <v>60401.08</v>
      </c>
      <c r="AY50" s="29">
        <v>0</v>
      </c>
      <c r="AZ50" s="191">
        <f t="shared" si="7"/>
        <v>4383604.22</v>
      </c>
      <c r="BA50" s="29">
        <v>2702617.34</v>
      </c>
      <c r="BB50" s="29">
        <v>769098.33</v>
      </c>
      <c r="BC50" s="29">
        <v>0</v>
      </c>
      <c r="BD50" s="29">
        <v>130652.12</v>
      </c>
      <c r="BE50" s="29">
        <v>356522.1</v>
      </c>
      <c r="BF50" s="29">
        <v>157687.43</v>
      </c>
      <c r="BG50" s="29">
        <v>0</v>
      </c>
      <c r="BH50" s="29">
        <v>267026.90000000002</v>
      </c>
      <c r="BI50" s="29">
        <v>0</v>
      </c>
      <c r="BJ50" s="191">
        <f t="shared" si="8"/>
        <v>4444005.3</v>
      </c>
      <c r="BK50" s="191">
        <f t="shared" si="9"/>
        <v>-731775.41</v>
      </c>
      <c r="BL50" s="191">
        <f>$BO$9+SUMPRODUCT($D$10:D50,$BK$10:BK50)</f>
        <v>-10810841.899889493</v>
      </c>
      <c r="BM50" s="30">
        <f t="shared" si="10"/>
        <v>6</v>
      </c>
      <c r="BN50" s="191">
        <f t="shared" si="13"/>
        <v>871192.36849000002</v>
      </c>
      <c r="BO50" s="192">
        <f t="shared" si="11"/>
        <v>14659289.766620001</v>
      </c>
      <c r="BP50" s="41">
        <f t="shared" si="14"/>
        <v>394434.31096315844</v>
      </c>
      <c r="BQ50" s="41">
        <f t="shared" si="15"/>
        <v>15974589.594007917</v>
      </c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 s="193">
        <f t="shared" si="19"/>
        <v>42</v>
      </c>
      <c r="B51" s="194">
        <f t="shared" si="19"/>
        <v>2060</v>
      </c>
      <c r="C51" s="29">
        <v>6</v>
      </c>
      <c r="D51" s="191">
        <f t="shared" si="16"/>
        <v>8.6540000000000006E-2</v>
      </c>
      <c r="E51" s="29">
        <v>13959941.289999999</v>
      </c>
      <c r="F51" s="191">
        <f t="shared" si="18"/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7042.59</v>
      </c>
      <c r="M51" s="191">
        <f t="shared" si="1"/>
        <v>1616009.94</v>
      </c>
      <c r="N51" s="29">
        <v>1022124.89</v>
      </c>
      <c r="O51" s="29">
        <v>325974.57</v>
      </c>
      <c r="P51" s="29">
        <v>0</v>
      </c>
      <c r="Q51" s="29">
        <v>55798.33</v>
      </c>
      <c r="R51" s="29">
        <v>152537.04999999999</v>
      </c>
      <c r="S51" s="29">
        <v>59575.1</v>
      </c>
      <c r="T51" s="29">
        <v>0</v>
      </c>
      <c r="U51" s="191">
        <f t="shared" si="2"/>
        <v>1235309.8899999999</v>
      </c>
      <c r="V51" s="29">
        <v>781332.43</v>
      </c>
      <c r="W51" s="29">
        <v>249181.39</v>
      </c>
      <c r="X51" s="29">
        <v>0</v>
      </c>
      <c r="Y51" s="29">
        <v>42653.35</v>
      </c>
      <c r="Z51" s="29">
        <v>116602.34</v>
      </c>
      <c r="AA51" s="29">
        <v>45540.38</v>
      </c>
      <c r="AB51" s="29">
        <v>0</v>
      </c>
      <c r="AC51" s="191">
        <f t="shared" si="3"/>
        <v>0</v>
      </c>
      <c r="AD51" s="29">
        <v>0</v>
      </c>
      <c r="AE51" s="29">
        <v>0</v>
      </c>
      <c r="AF51" s="29">
        <v>0</v>
      </c>
      <c r="AG51" s="29">
        <v>0</v>
      </c>
      <c r="AH51" s="191">
        <f t="shared" si="4"/>
        <v>0</v>
      </c>
      <c r="AI51" s="29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826865.02</v>
      </c>
      <c r="AO51" s="29">
        <v>0</v>
      </c>
      <c r="AP51" s="29">
        <v>0</v>
      </c>
      <c r="AQ51" s="29">
        <v>0</v>
      </c>
      <c r="AR51" s="191">
        <f t="shared" si="5"/>
        <v>3685227.44</v>
      </c>
      <c r="AS51" s="191">
        <f t="shared" si="6"/>
        <v>64023.57</v>
      </c>
      <c r="AT51" s="29">
        <v>0</v>
      </c>
      <c r="AU51" s="29">
        <v>0</v>
      </c>
      <c r="AV51" s="29">
        <v>0</v>
      </c>
      <c r="AW51" s="29">
        <v>0</v>
      </c>
      <c r="AX51" s="29">
        <v>64023.57</v>
      </c>
      <c r="AY51" s="29">
        <v>0</v>
      </c>
      <c r="AZ51" s="191">
        <f t="shared" si="7"/>
        <v>4143139.16</v>
      </c>
      <c r="BA51" s="29">
        <v>2487444.46</v>
      </c>
      <c r="BB51" s="29">
        <v>815222.75</v>
      </c>
      <c r="BC51" s="29">
        <v>0</v>
      </c>
      <c r="BD51" s="29">
        <v>128731.79</v>
      </c>
      <c r="BE51" s="29">
        <v>349865.22</v>
      </c>
      <c r="BF51" s="29">
        <v>147819.82</v>
      </c>
      <c r="BG51" s="29">
        <v>0</v>
      </c>
      <c r="BH51" s="29">
        <v>214055.12</v>
      </c>
      <c r="BI51" s="29">
        <v>0</v>
      </c>
      <c r="BJ51" s="191">
        <f t="shared" si="8"/>
        <v>4207162.7300000004</v>
      </c>
      <c r="BK51" s="191">
        <f t="shared" si="9"/>
        <v>-521935.29</v>
      </c>
      <c r="BL51" s="191">
        <f>$BO$9+SUMPRODUCT($D$10:D51,$BK$10:BK51)</f>
        <v>-10856010.179886093</v>
      </c>
      <c r="BM51" s="30">
        <f t="shared" si="10"/>
        <v>6</v>
      </c>
      <c r="BN51" s="191">
        <f t="shared" si="13"/>
        <v>879557.38600000006</v>
      </c>
      <c r="BO51" s="192">
        <f t="shared" si="11"/>
        <v>15016911.86262</v>
      </c>
      <c r="BP51" s="41">
        <f t="shared" si="14"/>
        <v>355727.63549989328</v>
      </c>
      <c r="BQ51" s="41">
        <f t="shared" si="15"/>
        <v>14762696.873245571</v>
      </c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 s="193">
        <f t="shared" si="19"/>
        <v>43</v>
      </c>
      <c r="B52" s="194">
        <f t="shared" si="19"/>
        <v>2061</v>
      </c>
      <c r="C52" s="29">
        <v>6</v>
      </c>
      <c r="D52" s="191">
        <f t="shared" si="16"/>
        <v>8.1640000000000004E-2</v>
      </c>
      <c r="E52" s="29">
        <v>13662219.890000001</v>
      </c>
      <c r="F52" s="191">
        <f t="shared" si="18"/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7465.2</v>
      </c>
      <c r="M52" s="191">
        <f t="shared" si="1"/>
        <v>1622964.19</v>
      </c>
      <c r="N52" s="29">
        <v>1032859.75</v>
      </c>
      <c r="O52" s="29">
        <v>324876.71000000002</v>
      </c>
      <c r="P52" s="29">
        <v>0</v>
      </c>
      <c r="Q52" s="29">
        <v>54677.02</v>
      </c>
      <c r="R52" s="29">
        <v>151511.81</v>
      </c>
      <c r="S52" s="29">
        <v>59038.9</v>
      </c>
      <c r="T52" s="29">
        <v>0</v>
      </c>
      <c r="U52" s="191">
        <f t="shared" si="2"/>
        <v>1240625.8700000001</v>
      </c>
      <c r="V52" s="29">
        <v>789538.38</v>
      </c>
      <c r="W52" s="29">
        <v>248342.17</v>
      </c>
      <c r="X52" s="29">
        <v>0</v>
      </c>
      <c r="Y52" s="29">
        <v>41796.199999999997</v>
      </c>
      <c r="Z52" s="29">
        <v>115818.62</v>
      </c>
      <c r="AA52" s="29">
        <v>45130.5</v>
      </c>
      <c r="AB52" s="29">
        <v>0</v>
      </c>
      <c r="AC52" s="191">
        <f t="shared" si="3"/>
        <v>0</v>
      </c>
      <c r="AD52" s="29">
        <v>0</v>
      </c>
      <c r="AE52" s="29">
        <v>0</v>
      </c>
      <c r="AF52" s="29">
        <v>0</v>
      </c>
      <c r="AG52" s="29">
        <v>0</v>
      </c>
      <c r="AH52" s="191">
        <f t="shared" si="4"/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799705.88</v>
      </c>
      <c r="AO52" s="29">
        <v>0</v>
      </c>
      <c r="AP52" s="29">
        <v>0</v>
      </c>
      <c r="AQ52" s="29">
        <v>0</v>
      </c>
      <c r="AR52" s="191">
        <f t="shared" si="5"/>
        <v>3670761.14</v>
      </c>
      <c r="AS52" s="191">
        <f t="shared" si="6"/>
        <v>67865.52</v>
      </c>
      <c r="AT52" s="29">
        <v>0</v>
      </c>
      <c r="AU52" s="29">
        <v>0</v>
      </c>
      <c r="AV52" s="29">
        <v>0</v>
      </c>
      <c r="AW52" s="29">
        <v>0</v>
      </c>
      <c r="AX52" s="29">
        <v>67865.52</v>
      </c>
      <c r="AY52" s="29">
        <v>0</v>
      </c>
      <c r="AZ52" s="191">
        <f t="shared" si="7"/>
        <v>4116902.7</v>
      </c>
      <c r="BA52" s="29">
        <v>2503421.42</v>
      </c>
      <c r="BB52" s="29">
        <v>810263.57</v>
      </c>
      <c r="BC52" s="29">
        <v>0</v>
      </c>
      <c r="BD52" s="29">
        <v>125527.94</v>
      </c>
      <c r="BE52" s="29">
        <v>345550.74</v>
      </c>
      <c r="BF52" s="29">
        <v>145936.15</v>
      </c>
      <c r="BG52" s="29">
        <v>0</v>
      </c>
      <c r="BH52" s="29">
        <v>186202.88</v>
      </c>
      <c r="BI52" s="29">
        <v>0</v>
      </c>
      <c r="BJ52" s="191">
        <f t="shared" si="8"/>
        <v>4184768.22</v>
      </c>
      <c r="BK52" s="191">
        <f t="shared" si="9"/>
        <v>-514007.08</v>
      </c>
      <c r="BL52" s="191">
        <f>$BO$9+SUMPRODUCT($D$10:D52,$BK$10:BK52)</f>
        <v>-10897973.717897294</v>
      </c>
      <c r="BM52" s="30">
        <f t="shared" si="10"/>
        <v>6</v>
      </c>
      <c r="BN52" s="191">
        <f t="shared" si="13"/>
        <v>901014.71175999998</v>
      </c>
      <c r="BO52" s="192">
        <f t="shared" si="11"/>
        <v>15403919.494379999</v>
      </c>
      <c r="BP52" s="41">
        <f t="shared" si="14"/>
        <v>336050.79209813982</v>
      </c>
      <c r="BQ52" s="41">
        <f t="shared" si="15"/>
        <v>14282158.664170943</v>
      </c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193">
        <f t="shared" si="19"/>
        <v>44</v>
      </c>
      <c r="B53" s="194">
        <f t="shared" si="19"/>
        <v>2062</v>
      </c>
      <c r="C53" s="29">
        <v>6</v>
      </c>
      <c r="D53" s="191">
        <f t="shared" si="16"/>
        <v>7.7020000000000005E-2</v>
      </c>
      <c r="E53" s="29">
        <v>12957965.34</v>
      </c>
      <c r="F53" s="191">
        <f t="shared" si="18"/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7913.17</v>
      </c>
      <c r="M53" s="191">
        <f t="shared" si="1"/>
        <v>1561867.36</v>
      </c>
      <c r="N53" s="29">
        <v>1017600.82</v>
      </c>
      <c r="O53" s="29">
        <v>285404.32</v>
      </c>
      <c r="P53" s="29">
        <v>0</v>
      </c>
      <c r="Q53" s="29">
        <v>53508.2</v>
      </c>
      <c r="R53" s="29">
        <v>149651</v>
      </c>
      <c r="S53" s="29">
        <v>55703.02</v>
      </c>
      <c r="T53" s="29">
        <v>0</v>
      </c>
      <c r="U53" s="191">
        <f t="shared" si="2"/>
        <v>1193922.24</v>
      </c>
      <c r="V53" s="29">
        <v>777874.15</v>
      </c>
      <c r="W53" s="29">
        <v>218168.7</v>
      </c>
      <c r="X53" s="29">
        <v>0</v>
      </c>
      <c r="Y53" s="29">
        <v>40902.730000000003</v>
      </c>
      <c r="Z53" s="29">
        <v>114396.17</v>
      </c>
      <c r="AA53" s="29">
        <v>42580.49</v>
      </c>
      <c r="AB53" s="29">
        <v>0</v>
      </c>
      <c r="AC53" s="191">
        <f t="shared" si="3"/>
        <v>0</v>
      </c>
      <c r="AD53" s="29">
        <v>0</v>
      </c>
      <c r="AE53" s="29">
        <v>0</v>
      </c>
      <c r="AF53" s="29">
        <v>0</v>
      </c>
      <c r="AG53" s="29">
        <v>0</v>
      </c>
      <c r="AH53" s="191">
        <f t="shared" si="4"/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797344.09</v>
      </c>
      <c r="AO53" s="29">
        <v>0</v>
      </c>
      <c r="AP53" s="29">
        <v>0</v>
      </c>
      <c r="AQ53" s="29">
        <v>0</v>
      </c>
      <c r="AR53" s="191">
        <f t="shared" si="5"/>
        <v>3561046.86</v>
      </c>
      <c r="AS53" s="191">
        <f t="shared" si="6"/>
        <v>71936.990000000005</v>
      </c>
      <c r="AT53" s="29">
        <v>0</v>
      </c>
      <c r="AU53" s="29">
        <v>0</v>
      </c>
      <c r="AV53" s="29">
        <v>0</v>
      </c>
      <c r="AW53" s="29">
        <v>0</v>
      </c>
      <c r="AX53" s="29">
        <v>71936.990000000005</v>
      </c>
      <c r="AY53" s="29">
        <v>0</v>
      </c>
      <c r="AZ53" s="191">
        <f t="shared" si="7"/>
        <v>3810308.01</v>
      </c>
      <c r="BA53" s="29">
        <v>2381526.5</v>
      </c>
      <c r="BB53" s="29">
        <v>673395.19999999995</v>
      </c>
      <c r="BC53" s="29">
        <v>0</v>
      </c>
      <c r="BD53" s="29">
        <v>120458.97</v>
      </c>
      <c r="BE53" s="29">
        <v>334853.27</v>
      </c>
      <c r="BF53" s="29">
        <v>131955</v>
      </c>
      <c r="BG53" s="29">
        <v>0</v>
      </c>
      <c r="BH53" s="29">
        <v>168119.07</v>
      </c>
      <c r="BI53" s="29">
        <v>0</v>
      </c>
      <c r="BJ53" s="191">
        <f t="shared" si="8"/>
        <v>3882245</v>
      </c>
      <c r="BK53" s="191">
        <f t="shared" si="9"/>
        <v>-321198.14</v>
      </c>
      <c r="BL53" s="191">
        <f>$BO$9+SUMPRODUCT($D$10:D53,$BK$10:BK53)</f>
        <v>-10922712.398640094</v>
      </c>
      <c r="BM53" s="30">
        <f t="shared" si="10"/>
        <v>6</v>
      </c>
      <c r="BN53" s="191">
        <f t="shared" si="13"/>
        <v>924235.16966000001</v>
      </c>
      <c r="BO53" s="192">
        <f t="shared" si="11"/>
        <v>16006956.524040001</v>
      </c>
      <c r="BP53" s="41">
        <f t="shared" si="14"/>
        <v>294477.07162095432</v>
      </c>
      <c r="BQ53" s="41">
        <f t="shared" si="15"/>
        <v>12809752.615511512</v>
      </c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193">
        <f t="shared" si="19"/>
        <v>45</v>
      </c>
      <c r="B54" s="194">
        <f t="shared" si="19"/>
        <v>2063</v>
      </c>
      <c r="C54" s="29">
        <v>6</v>
      </c>
      <c r="D54" s="191">
        <f t="shared" si="16"/>
        <v>7.2660000000000002E-2</v>
      </c>
      <c r="E54" s="29">
        <v>11988098.42</v>
      </c>
      <c r="F54" s="191">
        <f t="shared" si="18"/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8388.02</v>
      </c>
      <c r="M54" s="191">
        <f t="shared" si="1"/>
        <v>1462586.2</v>
      </c>
      <c r="N54" s="29">
        <v>1036329.31</v>
      </c>
      <c r="O54" s="29">
        <v>182591.12</v>
      </c>
      <c r="P54" s="29">
        <v>0</v>
      </c>
      <c r="Q54" s="29">
        <v>50279.38</v>
      </c>
      <c r="R54" s="29">
        <v>142656.10999999999</v>
      </c>
      <c r="S54" s="29">
        <v>50730.28</v>
      </c>
      <c r="T54" s="29">
        <v>0</v>
      </c>
      <c r="U54" s="191">
        <f t="shared" si="2"/>
        <v>1118029.74</v>
      </c>
      <c r="V54" s="29">
        <v>792190.57</v>
      </c>
      <c r="W54" s="29">
        <v>139576.26</v>
      </c>
      <c r="X54" s="29">
        <v>0</v>
      </c>
      <c r="Y54" s="29">
        <v>38434.550000000003</v>
      </c>
      <c r="Z54" s="29">
        <v>109049.14</v>
      </c>
      <c r="AA54" s="29">
        <v>38779.22</v>
      </c>
      <c r="AB54" s="29">
        <v>0</v>
      </c>
      <c r="AC54" s="191">
        <f t="shared" si="3"/>
        <v>0</v>
      </c>
      <c r="AD54" s="29">
        <v>0</v>
      </c>
      <c r="AE54" s="29">
        <v>0</v>
      </c>
      <c r="AF54" s="29">
        <v>0</v>
      </c>
      <c r="AG54" s="29">
        <v>0</v>
      </c>
      <c r="AH54" s="191">
        <f t="shared" si="4"/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752561.45</v>
      </c>
      <c r="AO54" s="29">
        <v>0</v>
      </c>
      <c r="AP54" s="29">
        <v>0</v>
      </c>
      <c r="AQ54" s="29">
        <v>0</v>
      </c>
      <c r="AR54" s="191">
        <f t="shared" si="5"/>
        <v>3341565.41</v>
      </c>
      <c r="AS54" s="191">
        <f t="shared" si="6"/>
        <v>76253.81</v>
      </c>
      <c r="AT54" s="29">
        <v>0</v>
      </c>
      <c r="AU54" s="29">
        <v>0</v>
      </c>
      <c r="AV54" s="29">
        <v>0</v>
      </c>
      <c r="AW54" s="29">
        <v>0</v>
      </c>
      <c r="AX54" s="29">
        <v>76253.81</v>
      </c>
      <c r="AY54" s="29">
        <v>0</v>
      </c>
      <c r="AZ54" s="191">
        <f t="shared" si="7"/>
        <v>3504764.78</v>
      </c>
      <c r="BA54" s="29">
        <v>2408825.88</v>
      </c>
      <c r="BB54" s="29">
        <v>385599.16</v>
      </c>
      <c r="BC54" s="29">
        <v>0</v>
      </c>
      <c r="BD54" s="29">
        <v>111861.89</v>
      </c>
      <c r="BE54" s="29">
        <v>315273.06</v>
      </c>
      <c r="BF54" s="29">
        <v>117452.97</v>
      </c>
      <c r="BG54" s="29">
        <v>0</v>
      </c>
      <c r="BH54" s="29">
        <v>165751.82</v>
      </c>
      <c r="BI54" s="29">
        <v>0</v>
      </c>
      <c r="BJ54" s="191">
        <f t="shared" si="8"/>
        <v>3581018.59</v>
      </c>
      <c r="BK54" s="191">
        <f t="shared" si="9"/>
        <v>-239453.18</v>
      </c>
      <c r="BL54" s="191">
        <f>$BO$9+SUMPRODUCT($D$10:D54,$BK$10:BK54)</f>
        <v>-10940111.066698894</v>
      </c>
      <c r="BM54" s="30">
        <f t="shared" si="10"/>
        <v>6</v>
      </c>
      <c r="BN54" s="191">
        <f t="shared" si="13"/>
        <v>960417.39144000004</v>
      </c>
      <c r="BO54" s="192">
        <f t="shared" si="11"/>
        <v>16727920.735479999</v>
      </c>
      <c r="BP54" s="41">
        <f t="shared" si="14"/>
        <v>255454.54163240106</v>
      </c>
      <c r="BQ54" s="41">
        <f t="shared" si="15"/>
        <v>11367727.102641847</v>
      </c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193">
        <f t="shared" si="19"/>
        <v>46</v>
      </c>
      <c r="B55" s="194">
        <f t="shared" si="19"/>
        <v>2064</v>
      </c>
      <c r="C55" s="29">
        <v>6</v>
      </c>
      <c r="D55" s="191">
        <f t="shared" si="16"/>
        <v>6.855E-2</v>
      </c>
      <c r="E55" s="29">
        <v>11190581.449999999</v>
      </c>
      <c r="F55" s="191">
        <f t="shared" si="18"/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8890.3700000000008</v>
      </c>
      <c r="M55" s="191">
        <f t="shared" si="1"/>
        <v>1377873.06</v>
      </c>
      <c r="N55" s="29">
        <v>977255.16</v>
      </c>
      <c r="O55" s="29">
        <v>170838.52</v>
      </c>
      <c r="P55" s="29">
        <v>0</v>
      </c>
      <c r="Q55" s="29">
        <v>47465.98</v>
      </c>
      <c r="R55" s="29">
        <v>135354.48000000001</v>
      </c>
      <c r="S55" s="29">
        <v>46958.92</v>
      </c>
      <c r="T55" s="29">
        <v>0</v>
      </c>
      <c r="U55" s="191">
        <f t="shared" si="2"/>
        <v>1053273.3700000001</v>
      </c>
      <c r="V55" s="29">
        <v>747033.14</v>
      </c>
      <c r="W55" s="29">
        <v>130592.33</v>
      </c>
      <c r="X55" s="29">
        <v>0</v>
      </c>
      <c r="Y55" s="29">
        <v>36283.94</v>
      </c>
      <c r="Z55" s="29">
        <v>103467.63</v>
      </c>
      <c r="AA55" s="29">
        <v>35896.33</v>
      </c>
      <c r="AB55" s="29">
        <v>0</v>
      </c>
      <c r="AC55" s="191">
        <f t="shared" si="3"/>
        <v>0</v>
      </c>
      <c r="AD55" s="29">
        <v>0</v>
      </c>
      <c r="AE55" s="29">
        <v>0</v>
      </c>
      <c r="AF55" s="29">
        <v>0</v>
      </c>
      <c r="AG55" s="29">
        <v>0</v>
      </c>
      <c r="AH55" s="191">
        <f t="shared" si="4"/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698500.5</v>
      </c>
      <c r="AO55" s="29">
        <v>0</v>
      </c>
      <c r="AP55" s="29">
        <v>0</v>
      </c>
      <c r="AQ55" s="29">
        <v>0</v>
      </c>
      <c r="AR55" s="191">
        <f t="shared" si="5"/>
        <v>3138537.3</v>
      </c>
      <c r="AS55" s="191">
        <f t="shared" si="6"/>
        <v>80825.64</v>
      </c>
      <c r="AT55" s="29">
        <v>0</v>
      </c>
      <c r="AU55" s="29">
        <v>0</v>
      </c>
      <c r="AV55" s="29">
        <v>0</v>
      </c>
      <c r="AW55" s="29">
        <v>0</v>
      </c>
      <c r="AX55" s="29">
        <v>80825.64</v>
      </c>
      <c r="AY55" s="29">
        <v>0</v>
      </c>
      <c r="AZ55" s="191">
        <f t="shared" si="7"/>
        <v>3223404.04</v>
      </c>
      <c r="BA55" s="29">
        <v>2215917.77</v>
      </c>
      <c r="BB55" s="29">
        <v>355966.83</v>
      </c>
      <c r="BC55" s="29">
        <v>0</v>
      </c>
      <c r="BD55" s="29">
        <v>103737.1</v>
      </c>
      <c r="BE55" s="29">
        <v>294022.12</v>
      </c>
      <c r="BF55" s="29">
        <v>106302.39</v>
      </c>
      <c r="BG55" s="29">
        <v>0</v>
      </c>
      <c r="BH55" s="29">
        <v>147457.82999999999</v>
      </c>
      <c r="BI55" s="29">
        <v>0</v>
      </c>
      <c r="BJ55" s="191">
        <f t="shared" si="8"/>
        <v>3304229.68</v>
      </c>
      <c r="BK55" s="191">
        <f t="shared" si="9"/>
        <v>-165692.38</v>
      </c>
      <c r="BL55" s="191">
        <f>$BO$9+SUMPRODUCT($D$10:D55,$BK$10:BK55)</f>
        <v>-10951469.279347895</v>
      </c>
      <c r="BM55" s="30">
        <f t="shared" si="10"/>
        <v>6</v>
      </c>
      <c r="BN55" s="191">
        <f t="shared" si="13"/>
        <v>1003675.24413</v>
      </c>
      <c r="BO55" s="192">
        <f t="shared" si="11"/>
        <v>17565903.599610001</v>
      </c>
      <c r="BP55" s="41">
        <f t="shared" si="14"/>
        <v>222754.41761708041</v>
      </c>
      <c r="BQ55" s="41">
        <f t="shared" si="15"/>
        <v>10135326.001577159</v>
      </c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193">
        <f t="shared" si="19"/>
        <v>47</v>
      </c>
      <c r="B56" s="194">
        <f t="shared" si="19"/>
        <v>2065</v>
      </c>
      <c r="C56" s="29">
        <v>6</v>
      </c>
      <c r="D56" s="191">
        <f t="shared" si="16"/>
        <v>6.4670000000000005E-2</v>
      </c>
      <c r="E56" s="29">
        <v>9888079.2200000007</v>
      </c>
      <c r="F56" s="191">
        <f t="shared" si="18"/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9423.91</v>
      </c>
      <c r="M56" s="191">
        <f t="shared" si="1"/>
        <v>1260918.05</v>
      </c>
      <c r="N56" s="29">
        <v>894338.77</v>
      </c>
      <c r="O56" s="29">
        <v>158821.21</v>
      </c>
      <c r="P56" s="29">
        <v>0</v>
      </c>
      <c r="Q56" s="29">
        <v>43075.74</v>
      </c>
      <c r="R56" s="29">
        <v>122461.08</v>
      </c>
      <c r="S56" s="29">
        <v>42221.25</v>
      </c>
      <c r="T56" s="29">
        <v>0</v>
      </c>
      <c r="U56" s="191">
        <f t="shared" si="2"/>
        <v>963870.63</v>
      </c>
      <c r="V56" s="29">
        <v>683650.21</v>
      </c>
      <c r="W56" s="29">
        <v>121406.07</v>
      </c>
      <c r="X56" s="29">
        <v>0</v>
      </c>
      <c r="Y56" s="29">
        <v>32927.94</v>
      </c>
      <c r="Z56" s="29">
        <v>93611.66</v>
      </c>
      <c r="AA56" s="29">
        <v>32274.75</v>
      </c>
      <c r="AB56" s="29">
        <v>0</v>
      </c>
      <c r="AC56" s="191">
        <f t="shared" si="3"/>
        <v>0</v>
      </c>
      <c r="AD56" s="29">
        <v>0</v>
      </c>
      <c r="AE56" s="29">
        <v>0</v>
      </c>
      <c r="AF56" s="29">
        <v>0</v>
      </c>
      <c r="AG56" s="29">
        <v>0</v>
      </c>
      <c r="AH56" s="191">
        <f t="shared" si="4"/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29">
        <v>647430.07999999996</v>
      </c>
      <c r="AO56" s="29">
        <v>0</v>
      </c>
      <c r="AP56" s="29">
        <v>0</v>
      </c>
      <c r="AQ56" s="29">
        <v>0</v>
      </c>
      <c r="AR56" s="191">
        <f t="shared" si="5"/>
        <v>2881642.67</v>
      </c>
      <c r="AS56" s="191">
        <f t="shared" si="6"/>
        <v>85675.02</v>
      </c>
      <c r="AT56" s="29">
        <v>0</v>
      </c>
      <c r="AU56" s="29">
        <v>0</v>
      </c>
      <c r="AV56" s="29">
        <v>0</v>
      </c>
      <c r="AW56" s="29">
        <v>0</v>
      </c>
      <c r="AX56" s="29">
        <v>85675.02</v>
      </c>
      <c r="AY56" s="29">
        <v>0</v>
      </c>
      <c r="AZ56" s="191">
        <f t="shared" si="7"/>
        <v>2886562</v>
      </c>
      <c r="BA56" s="29">
        <v>1992338.58</v>
      </c>
      <c r="BB56" s="29">
        <v>326494.64</v>
      </c>
      <c r="BC56" s="29">
        <v>0</v>
      </c>
      <c r="BD56" s="29">
        <v>92783.76</v>
      </c>
      <c r="BE56" s="29">
        <v>262441.26</v>
      </c>
      <c r="BF56" s="29">
        <v>94001.13</v>
      </c>
      <c r="BG56" s="29">
        <v>0</v>
      </c>
      <c r="BH56" s="29">
        <v>118502.63</v>
      </c>
      <c r="BI56" s="29">
        <v>0</v>
      </c>
      <c r="BJ56" s="191">
        <f t="shared" si="8"/>
        <v>2972237.02</v>
      </c>
      <c r="BK56" s="191">
        <f t="shared" si="9"/>
        <v>-90594.35</v>
      </c>
      <c r="BL56" s="191">
        <f>$BO$9+SUMPRODUCT($D$10:D56,$BK$10:BK56)</f>
        <v>-10957328.015962394</v>
      </c>
      <c r="BM56" s="30">
        <f t="shared" si="10"/>
        <v>6</v>
      </c>
      <c r="BN56" s="191">
        <f t="shared" si="13"/>
        <v>1053954.2159800001</v>
      </c>
      <c r="BO56" s="192">
        <f t="shared" si="11"/>
        <v>18529263.46559</v>
      </c>
      <c r="BP56" s="41">
        <f t="shared" si="14"/>
        <v>189972.53328803985</v>
      </c>
      <c r="BQ56" s="41">
        <f t="shared" si="15"/>
        <v>8833722.7978938539</v>
      </c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193">
        <f t="shared" si="19"/>
        <v>48</v>
      </c>
      <c r="B57" s="194">
        <f t="shared" si="19"/>
        <v>2066</v>
      </c>
      <c r="C57" s="29">
        <v>6</v>
      </c>
      <c r="D57" s="191">
        <f t="shared" si="16"/>
        <v>6.1010000000000002E-2</v>
      </c>
      <c r="E57" s="29">
        <v>8680013.3200000003</v>
      </c>
      <c r="F57" s="191">
        <f t="shared" si="18"/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9989.4599999999991</v>
      </c>
      <c r="M57" s="191">
        <f t="shared" si="1"/>
        <v>1131186.1499999999</v>
      </c>
      <c r="N57" s="29">
        <v>809088.82</v>
      </c>
      <c r="O57" s="29">
        <v>140173.51999999999</v>
      </c>
      <c r="P57" s="29">
        <v>0</v>
      </c>
      <c r="Q57" s="29">
        <v>37620.71</v>
      </c>
      <c r="R57" s="29">
        <v>107505.21</v>
      </c>
      <c r="S57" s="29">
        <v>36797.89</v>
      </c>
      <c r="T57" s="29">
        <v>0</v>
      </c>
      <c r="U57" s="191">
        <f t="shared" si="2"/>
        <v>864701.02</v>
      </c>
      <c r="V57" s="29">
        <v>618483.47</v>
      </c>
      <c r="W57" s="29">
        <v>107151.4</v>
      </c>
      <c r="X57" s="29">
        <v>0</v>
      </c>
      <c r="Y57" s="29">
        <v>28758.01</v>
      </c>
      <c r="Z57" s="29">
        <v>82179.11</v>
      </c>
      <c r="AA57" s="29">
        <v>28129.03</v>
      </c>
      <c r="AB57" s="29">
        <v>0</v>
      </c>
      <c r="AC57" s="191">
        <f t="shared" si="3"/>
        <v>0</v>
      </c>
      <c r="AD57" s="29">
        <v>0</v>
      </c>
      <c r="AE57" s="29">
        <v>0</v>
      </c>
      <c r="AF57" s="29">
        <v>0</v>
      </c>
      <c r="AG57" s="29">
        <v>0</v>
      </c>
      <c r="AH57" s="191">
        <f t="shared" si="4"/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580260.71</v>
      </c>
      <c r="AO57" s="29">
        <v>0</v>
      </c>
      <c r="AP57" s="29">
        <v>0</v>
      </c>
      <c r="AQ57" s="29">
        <v>0</v>
      </c>
      <c r="AR57" s="191">
        <f t="shared" si="5"/>
        <v>2586137.34</v>
      </c>
      <c r="AS57" s="191">
        <f t="shared" si="6"/>
        <v>90814.42</v>
      </c>
      <c r="AT57" s="29">
        <v>0</v>
      </c>
      <c r="AU57" s="29">
        <v>0</v>
      </c>
      <c r="AV57" s="29">
        <v>0</v>
      </c>
      <c r="AW57" s="29">
        <v>0</v>
      </c>
      <c r="AX57" s="29">
        <v>90814.42</v>
      </c>
      <c r="AY57" s="29">
        <v>0</v>
      </c>
      <c r="AZ57" s="191">
        <f t="shared" si="7"/>
        <v>2566023.12</v>
      </c>
      <c r="BA57" s="29">
        <v>1768633.11</v>
      </c>
      <c r="BB57" s="29">
        <v>290181.56</v>
      </c>
      <c r="BC57" s="29">
        <v>0</v>
      </c>
      <c r="BD57" s="29">
        <v>79900.81</v>
      </c>
      <c r="BE57" s="29">
        <v>227750.2</v>
      </c>
      <c r="BF57" s="29">
        <v>80666.7</v>
      </c>
      <c r="BG57" s="29">
        <v>0</v>
      </c>
      <c r="BH57" s="29">
        <v>118890.74</v>
      </c>
      <c r="BI57" s="29">
        <v>0</v>
      </c>
      <c r="BJ57" s="191">
        <f t="shared" si="8"/>
        <v>2656837.54</v>
      </c>
      <c r="BK57" s="191">
        <f t="shared" si="9"/>
        <v>-70700.2</v>
      </c>
      <c r="BL57" s="191">
        <f>$BO$9+SUMPRODUCT($D$10:D57,$BK$10:BK57)</f>
        <v>-10961641.435164394</v>
      </c>
      <c r="BM57" s="30">
        <f t="shared" si="10"/>
        <v>6</v>
      </c>
      <c r="BN57" s="191">
        <f t="shared" si="13"/>
        <v>1111755.80794</v>
      </c>
      <c r="BO57" s="192">
        <f t="shared" si="11"/>
        <v>19570319.07353</v>
      </c>
      <c r="BP57" s="41">
        <f t="shared" si="14"/>
        <v>159387.37353709998</v>
      </c>
      <c r="BQ57" s="41">
        <f t="shared" si="15"/>
        <v>7570900.2430122485</v>
      </c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 s="193">
        <f t="shared" si="19"/>
        <v>49</v>
      </c>
      <c r="B58" s="194">
        <f t="shared" si="19"/>
        <v>2067</v>
      </c>
      <c r="C58" s="29">
        <v>6</v>
      </c>
      <c r="D58" s="191">
        <f t="shared" si="16"/>
        <v>5.756E-2</v>
      </c>
      <c r="E58" s="29">
        <v>7143212.9400000004</v>
      </c>
      <c r="F58" s="191">
        <f t="shared" si="18"/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10587.95</v>
      </c>
      <c r="M58" s="191">
        <f t="shared" si="1"/>
        <v>925974.3</v>
      </c>
      <c r="N58" s="29">
        <v>686406.43</v>
      </c>
      <c r="O58" s="29">
        <v>88133.01</v>
      </c>
      <c r="P58" s="29">
        <v>0</v>
      </c>
      <c r="Q58" s="29">
        <v>31635.82</v>
      </c>
      <c r="R58" s="29">
        <v>90899.46</v>
      </c>
      <c r="S58" s="29">
        <v>28899.58</v>
      </c>
      <c r="T58" s="29">
        <v>0</v>
      </c>
      <c r="U58" s="191">
        <f t="shared" si="2"/>
        <v>707833.05</v>
      </c>
      <c r="V58" s="29">
        <v>524702.63</v>
      </c>
      <c r="W58" s="29">
        <v>67370.61</v>
      </c>
      <c r="X58" s="29">
        <v>0</v>
      </c>
      <c r="Y58" s="29">
        <v>24183.05</v>
      </c>
      <c r="Z58" s="29">
        <v>69485.350000000006</v>
      </c>
      <c r="AA58" s="29">
        <v>22091.41</v>
      </c>
      <c r="AB58" s="29">
        <v>0</v>
      </c>
      <c r="AC58" s="191">
        <f t="shared" si="3"/>
        <v>0</v>
      </c>
      <c r="AD58" s="29">
        <v>0</v>
      </c>
      <c r="AE58" s="29">
        <v>0</v>
      </c>
      <c r="AF58" s="29">
        <v>0</v>
      </c>
      <c r="AG58" s="29">
        <v>0</v>
      </c>
      <c r="AH58" s="191">
        <f t="shared" si="4"/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509548.54</v>
      </c>
      <c r="AO58" s="29">
        <v>0</v>
      </c>
      <c r="AP58" s="29">
        <v>0</v>
      </c>
      <c r="AQ58" s="29">
        <v>0</v>
      </c>
      <c r="AR58" s="191">
        <f t="shared" si="5"/>
        <v>2153943.84</v>
      </c>
      <c r="AS58" s="191">
        <f t="shared" si="6"/>
        <v>96257.31</v>
      </c>
      <c r="AT58" s="29">
        <v>0</v>
      </c>
      <c r="AU58" s="29">
        <v>0</v>
      </c>
      <c r="AV58" s="29">
        <v>0</v>
      </c>
      <c r="AW58" s="29">
        <v>0</v>
      </c>
      <c r="AX58" s="29">
        <v>96257.31</v>
      </c>
      <c r="AY58" s="29">
        <v>0</v>
      </c>
      <c r="AZ58" s="191">
        <f t="shared" si="7"/>
        <v>1998151.1</v>
      </c>
      <c r="BA58" s="29">
        <v>1426611</v>
      </c>
      <c r="BB58" s="29">
        <v>175777.7</v>
      </c>
      <c r="BC58" s="29">
        <v>0</v>
      </c>
      <c r="BD58" s="29">
        <v>65002.01</v>
      </c>
      <c r="BE58" s="29">
        <v>186407.44</v>
      </c>
      <c r="BF58" s="29">
        <v>60393</v>
      </c>
      <c r="BG58" s="29">
        <v>0</v>
      </c>
      <c r="BH58" s="29">
        <v>83959.95</v>
      </c>
      <c r="BI58" s="29">
        <v>0</v>
      </c>
      <c r="BJ58" s="191">
        <f t="shared" si="8"/>
        <v>2094408.41</v>
      </c>
      <c r="BK58" s="191">
        <f t="shared" si="9"/>
        <v>59535.43</v>
      </c>
      <c r="BL58" s="191">
        <f>$BO$9+SUMPRODUCT($D$10:D58,$BK$10:BK58)</f>
        <v>-10958214.575813593</v>
      </c>
      <c r="BM58" s="30">
        <f t="shared" si="10"/>
        <v>6</v>
      </c>
      <c r="BN58" s="191">
        <f t="shared" si="13"/>
        <v>1174219.1444099999</v>
      </c>
      <c r="BO58" s="192">
        <f t="shared" si="11"/>
        <v>20804073.647939999</v>
      </c>
      <c r="BP58" s="41">
        <f t="shared" si="14"/>
        <v>119112.8123023696</v>
      </c>
      <c r="BQ58" s="41">
        <f t="shared" si="15"/>
        <v>5776971.3966649249</v>
      </c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 s="193">
        <f t="shared" ref="A59:B74" si="20">A58+1</f>
        <v>50</v>
      </c>
      <c r="B59" s="194">
        <f t="shared" si="20"/>
        <v>2068</v>
      </c>
      <c r="C59" s="29">
        <v>6</v>
      </c>
      <c r="D59" s="191">
        <f t="shared" si="16"/>
        <v>5.4300000000000001E-2</v>
      </c>
      <c r="E59" s="29">
        <v>6847722.8799999999</v>
      </c>
      <c r="F59" s="191">
        <f t="shared" si="18"/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11224.4</v>
      </c>
      <c r="M59" s="191">
        <f t="shared" si="1"/>
        <v>906672.84</v>
      </c>
      <c r="N59" s="29">
        <v>676298.91</v>
      </c>
      <c r="O59" s="29">
        <v>82304.3</v>
      </c>
      <c r="P59" s="29">
        <v>0</v>
      </c>
      <c r="Q59" s="29">
        <v>30892.52</v>
      </c>
      <c r="R59" s="29">
        <v>89214.46</v>
      </c>
      <c r="S59" s="29">
        <v>27962.65</v>
      </c>
      <c r="T59" s="29">
        <v>0</v>
      </c>
      <c r="U59" s="191">
        <f t="shared" si="2"/>
        <v>693078.61</v>
      </c>
      <c r="V59" s="29">
        <v>516976.23</v>
      </c>
      <c r="W59" s="29">
        <v>62915.040000000001</v>
      </c>
      <c r="X59" s="29">
        <v>0</v>
      </c>
      <c r="Y59" s="29">
        <v>23614.85</v>
      </c>
      <c r="Z59" s="29">
        <v>68197.289999999994</v>
      </c>
      <c r="AA59" s="29">
        <v>21375.200000000001</v>
      </c>
      <c r="AB59" s="29">
        <v>0</v>
      </c>
      <c r="AC59" s="191">
        <f t="shared" si="3"/>
        <v>0</v>
      </c>
      <c r="AD59" s="29">
        <v>0</v>
      </c>
      <c r="AE59" s="29">
        <v>0</v>
      </c>
      <c r="AF59" s="29">
        <v>0</v>
      </c>
      <c r="AG59" s="29">
        <v>0</v>
      </c>
      <c r="AH59" s="191">
        <f t="shared" si="4"/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406222.02</v>
      </c>
      <c r="AO59" s="29">
        <v>0</v>
      </c>
      <c r="AP59" s="29">
        <v>0</v>
      </c>
      <c r="AQ59" s="29">
        <v>0</v>
      </c>
      <c r="AR59" s="191">
        <f t="shared" si="5"/>
        <v>2017197.87</v>
      </c>
      <c r="AS59" s="191">
        <f t="shared" si="6"/>
        <v>102036.18</v>
      </c>
      <c r="AT59" s="29">
        <v>0</v>
      </c>
      <c r="AU59" s="29">
        <v>0</v>
      </c>
      <c r="AV59" s="29">
        <v>0</v>
      </c>
      <c r="AW59" s="29">
        <v>0</v>
      </c>
      <c r="AX59" s="29">
        <v>102036.18</v>
      </c>
      <c r="AY59" s="29">
        <v>0</v>
      </c>
      <c r="AZ59" s="191">
        <f t="shared" si="7"/>
        <v>1926596.08</v>
      </c>
      <c r="BA59" s="29">
        <v>1395265.51</v>
      </c>
      <c r="BB59" s="29">
        <v>165004.66</v>
      </c>
      <c r="BC59" s="29">
        <v>0</v>
      </c>
      <c r="BD59" s="29">
        <v>63055.49</v>
      </c>
      <c r="BE59" s="29">
        <v>181787.85</v>
      </c>
      <c r="BF59" s="29">
        <v>58099.47</v>
      </c>
      <c r="BG59" s="29">
        <v>0</v>
      </c>
      <c r="BH59" s="29">
        <v>63383.1</v>
      </c>
      <c r="BI59" s="29">
        <v>0</v>
      </c>
      <c r="BJ59" s="191">
        <f t="shared" si="8"/>
        <v>2028632.26</v>
      </c>
      <c r="BK59" s="191">
        <f t="shared" si="9"/>
        <v>-11434.39</v>
      </c>
      <c r="BL59" s="191">
        <f>$BO$9+SUMPRODUCT($D$10:D59,$BK$10:BK59)</f>
        <v>-10958835.463190593</v>
      </c>
      <c r="BM59" s="30">
        <f t="shared" si="10"/>
        <v>6</v>
      </c>
      <c r="BN59" s="191">
        <f t="shared" si="13"/>
        <v>1248244.41888</v>
      </c>
      <c r="BO59" s="192">
        <f t="shared" si="11"/>
        <v>22040883.676819999</v>
      </c>
      <c r="BP59" s="41">
        <f t="shared" si="14"/>
        <v>109844.24008715169</v>
      </c>
      <c r="BQ59" s="41">
        <f t="shared" si="15"/>
        <v>5437289.884314009</v>
      </c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 s="193">
        <f t="shared" si="20"/>
        <v>51</v>
      </c>
      <c r="B60" s="194">
        <f t="shared" si="20"/>
        <v>2069</v>
      </c>
      <c r="C60" s="29">
        <v>6</v>
      </c>
      <c r="D60" s="191">
        <f t="shared" si="16"/>
        <v>5.1229999999999998E-2</v>
      </c>
      <c r="E60" s="29">
        <v>5587675.3899999997</v>
      </c>
      <c r="F60" s="191">
        <f t="shared" si="18"/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11896.99</v>
      </c>
      <c r="M60" s="191">
        <f t="shared" si="1"/>
        <v>736261.17</v>
      </c>
      <c r="N60" s="29">
        <v>529252.87</v>
      </c>
      <c r="O60" s="29">
        <v>87236.25</v>
      </c>
      <c r="P60" s="29">
        <v>0</v>
      </c>
      <c r="Q60" s="29">
        <v>24911.33</v>
      </c>
      <c r="R60" s="29">
        <v>72964.92</v>
      </c>
      <c r="S60" s="29">
        <v>21895.8</v>
      </c>
      <c r="T60" s="29">
        <v>0</v>
      </c>
      <c r="U60" s="191">
        <f t="shared" si="2"/>
        <v>562812.59</v>
      </c>
      <c r="V60" s="29">
        <v>404571.34</v>
      </c>
      <c r="W60" s="29">
        <v>66685.11</v>
      </c>
      <c r="X60" s="29">
        <v>0</v>
      </c>
      <c r="Y60" s="29">
        <v>19042.72</v>
      </c>
      <c r="Z60" s="29">
        <v>55775.83</v>
      </c>
      <c r="AA60" s="29">
        <v>16737.59</v>
      </c>
      <c r="AB60" s="29">
        <v>0</v>
      </c>
      <c r="AC60" s="191">
        <f t="shared" si="3"/>
        <v>0</v>
      </c>
      <c r="AD60" s="29">
        <v>0</v>
      </c>
      <c r="AE60" s="29">
        <v>0</v>
      </c>
      <c r="AF60" s="29">
        <v>0</v>
      </c>
      <c r="AG60" s="29">
        <v>0</v>
      </c>
      <c r="AH60" s="191">
        <f t="shared" si="4"/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396277.24</v>
      </c>
      <c r="AO60" s="29">
        <v>0</v>
      </c>
      <c r="AP60" s="29">
        <v>0</v>
      </c>
      <c r="AQ60" s="29">
        <v>0</v>
      </c>
      <c r="AR60" s="191">
        <f t="shared" si="5"/>
        <v>1707247.99</v>
      </c>
      <c r="AS60" s="191">
        <f t="shared" si="6"/>
        <v>108150.67</v>
      </c>
      <c r="AT60" s="29">
        <v>0</v>
      </c>
      <c r="AU60" s="29">
        <v>0</v>
      </c>
      <c r="AV60" s="29">
        <v>0</v>
      </c>
      <c r="AW60" s="29">
        <v>0</v>
      </c>
      <c r="AX60" s="29">
        <v>108150.67</v>
      </c>
      <c r="AY60" s="29">
        <v>0</v>
      </c>
      <c r="AZ60" s="191">
        <f t="shared" si="7"/>
        <v>1537199.46</v>
      </c>
      <c r="BA60" s="29">
        <v>1059764.74</v>
      </c>
      <c r="BB60" s="29">
        <v>174892.04</v>
      </c>
      <c r="BC60" s="29">
        <v>0</v>
      </c>
      <c r="BD60" s="29">
        <v>49424.63</v>
      </c>
      <c r="BE60" s="29">
        <v>144630.14000000001</v>
      </c>
      <c r="BF60" s="29">
        <v>44271.15</v>
      </c>
      <c r="BG60" s="29">
        <v>0</v>
      </c>
      <c r="BH60" s="29">
        <v>64216.76</v>
      </c>
      <c r="BI60" s="29">
        <v>0</v>
      </c>
      <c r="BJ60" s="191">
        <f t="shared" si="8"/>
        <v>1645350.13</v>
      </c>
      <c r="BK60" s="191">
        <f t="shared" si="9"/>
        <v>61897.86</v>
      </c>
      <c r="BL60" s="191">
        <f>$BO$9+SUMPRODUCT($D$10:D60,$BK$10:BK60)</f>
        <v>-10955664.435822792</v>
      </c>
      <c r="BM60" s="30">
        <f t="shared" si="10"/>
        <v>6</v>
      </c>
      <c r="BN60" s="191">
        <f t="shared" si="13"/>
        <v>1322453.02061</v>
      </c>
      <c r="BO60" s="192">
        <f t="shared" si="11"/>
        <v>23425234.557429999</v>
      </c>
      <c r="BP60" s="41">
        <f t="shared" si="14"/>
        <v>83372.401004660278</v>
      </c>
      <c r="BQ60" s="41">
        <f t="shared" si="15"/>
        <v>4210306.2507353444</v>
      </c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 s="193">
        <f t="shared" si="20"/>
        <v>52</v>
      </c>
      <c r="B61" s="194">
        <f t="shared" si="20"/>
        <v>2070</v>
      </c>
      <c r="C61" s="29">
        <v>6</v>
      </c>
      <c r="D61" s="191">
        <f t="shared" si="16"/>
        <v>4.8329999999999998E-2</v>
      </c>
      <c r="E61" s="29">
        <v>4506960.3099999996</v>
      </c>
      <c r="F61" s="191">
        <f t="shared" si="18"/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12609.99</v>
      </c>
      <c r="M61" s="191">
        <f t="shared" si="1"/>
        <v>585620.56000000006</v>
      </c>
      <c r="N61" s="29">
        <v>438002.59</v>
      </c>
      <c r="O61" s="29">
        <v>51023.73</v>
      </c>
      <c r="P61" s="29">
        <v>0</v>
      </c>
      <c r="Q61" s="29">
        <v>20214.419999999998</v>
      </c>
      <c r="R61" s="29">
        <v>59779.86</v>
      </c>
      <c r="S61" s="29">
        <v>16599.96</v>
      </c>
      <c r="T61" s="29">
        <v>0</v>
      </c>
      <c r="U61" s="191">
        <f t="shared" si="2"/>
        <v>447659.93</v>
      </c>
      <c r="V61" s="29">
        <v>334817.83</v>
      </c>
      <c r="W61" s="29">
        <v>39003.550000000003</v>
      </c>
      <c r="X61" s="29">
        <v>0</v>
      </c>
      <c r="Y61" s="29">
        <v>15452.31</v>
      </c>
      <c r="Z61" s="29">
        <v>45696.91</v>
      </c>
      <c r="AA61" s="29">
        <v>12689.33</v>
      </c>
      <c r="AB61" s="29">
        <v>0</v>
      </c>
      <c r="AC61" s="191">
        <f t="shared" si="3"/>
        <v>0</v>
      </c>
      <c r="AD61" s="29">
        <v>0</v>
      </c>
      <c r="AE61" s="29">
        <v>0</v>
      </c>
      <c r="AF61" s="29">
        <v>0</v>
      </c>
      <c r="AG61" s="29">
        <v>0</v>
      </c>
      <c r="AH61" s="191">
        <f t="shared" si="4"/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29">
        <v>315139.88</v>
      </c>
      <c r="AO61" s="29">
        <v>0</v>
      </c>
      <c r="AP61" s="29">
        <v>0</v>
      </c>
      <c r="AQ61" s="29">
        <v>0</v>
      </c>
      <c r="AR61" s="191">
        <f t="shared" si="5"/>
        <v>1361030.36</v>
      </c>
      <c r="AS61" s="191">
        <f t="shared" si="6"/>
        <v>114640.57</v>
      </c>
      <c r="AT61" s="29">
        <v>0</v>
      </c>
      <c r="AU61" s="29">
        <v>0</v>
      </c>
      <c r="AV61" s="29">
        <v>0</v>
      </c>
      <c r="AW61" s="29">
        <v>0</v>
      </c>
      <c r="AX61" s="29">
        <v>114640.57</v>
      </c>
      <c r="AY61" s="29">
        <v>0</v>
      </c>
      <c r="AZ61" s="191">
        <f t="shared" si="7"/>
        <v>1183122.49</v>
      </c>
      <c r="BA61" s="29">
        <v>850793.58</v>
      </c>
      <c r="BB61" s="29">
        <v>97459.36</v>
      </c>
      <c r="BC61" s="29">
        <v>0</v>
      </c>
      <c r="BD61" s="29">
        <v>38957.519999999997</v>
      </c>
      <c r="BE61" s="29">
        <v>115127.17</v>
      </c>
      <c r="BF61" s="29">
        <v>32426.46</v>
      </c>
      <c r="BG61" s="29">
        <v>0</v>
      </c>
      <c r="BH61" s="29">
        <v>48358.400000000001</v>
      </c>
      <c r="BI61" s="29">
        <v>0</v>
      </c>
      <c r="BJ61" s="191">
        <f t="shared" si="8"/>
        <v>1297763.06</v>
      </c>
      <c r="BK61" s="191">
        <f t="shared" si="9"/>
        <v>63267.3</v>
      </c>
      <c r="BL61" s="191">
        <f>$BO$9+SUMPRODUCT($D$10:D61,$BK$10:BK61)</f>
        <v>-10952606.727213793</v>
      </c>
      <c r="BM61" s="30">
        <f t="shared" si="10"/>
        <v>6</v>
      </c>
      <c r="BN61" s="191">
        <f t="shared" si="13"/>
        <v>1405514.07345</v>
      </c>
      <c r="BO61" s="192">
        <f t="shared" si="11"/>
        <v>24894015.930879999</v>
      </c>
      <c r="BP61" s="41">
        <f t="shared" si="14"/>
        <v>62151.42067209533</v>
      </c>
      <c r="BQ61" s="41">
        <f t="shared" si="15"/>
        <v>3200798.1646129093</v>
      </c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 s="193">
        <f t="shared" si="20"/>
        <v>53</v>
      </c>
      <c r="B62" s="194">
        <f t="shared" si="20"/>
        <v>2071</v>
      </c>
      <c r="C62" s="29">
        <v>6</v>
      </c>
      <c r="D62" s="191">
        <f t="shared" si="16"/>
        <v>4.5589999999999999E-2</v>
      </c>
      <c r="E62" s="29">
        <v>3622913.48</v>
      </c>
      <c r="F62" s="191">
        <f t="shared" si="18"/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191">
        <f t="shared" si="1"/>
        <v>474115.26</v>
      </c>
      <c r="N62" s="29">
        <v>355525.15</v>
      </c>
      <c r="O62" s="29">
        <v>39677.94</v>
      </c>
      <c r="P62" s="29">
        <v>0</v>
      </c>
      <c r="Q62" s="29">
        <v>16594.13</v>
      </c>
      <c r="R62" s="29">
        <v>49470.09</v>
      </c>
      <c r="S62" s="29">
        <v>12847.95</v>
      </c>
      <c r="T62" s="29">
        <v>0</v>
      </c>
      <c r="U62" s="191">
        <f t="shared" si="2"/>
        <v>362423.06</v>
      </c>
      <c r="V62" s="29">
        <v>271770.45</v>
      </c>
      <c r="W62" s="29">
        <v>30330.6</v>
      </c>
      <c r="X62" s="29">
        <v>0</v>
      </c>
      <c r="Y62" s="29">
        <v>12684.88</v>
      </c>
      <c r="Z62" s="29">
        <v>37815.910000000003</v>
      </c>
      <c r="AA62" s="29">
        <v>9821.2199999999993</v>
      </c>
      <c r="AB62" s="29">
        <v>0</v>
      </c>
      <c r="AC62" s="191">
        <f t="shared" si="3"/>
        <v>0</v>
      </c>
      <c r="AD62" s="29">
        <v>0</v>
      </c>
      <c r="AE62" s="29">
        <v>0</v>
      </c>
      <c r="AF62" s="29">
        <v>0</v>
      </c>
      <c r="AG62" s="29">
        <v>0</v>
      </c>
      <c r="AH62" s="191">
        <f t="shared" si="4"/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246296.47</v>
      </c>
      <c r="AO62" s="29">
        <v>0</v>
      </c>
      <c r="AP62" s="29">
        <v>0</v>
      </c>
      <c r="AQ62" s="29">
        <v>0</v>
      </c>
      <c r="AR62" s="191">
        <f t="shared" si="5"/>
        <v>1082834.79</v>
      </c>
      <c r="AS62" s="191">
        <f t="shared" si="6"/>
        <v>0</v>
      </c>
      <c r="AT62" s="29">
        <v>0</v>
      </c>
      <c r="AU62" s="29">
        <v>0</v>
      </c>
      <c r="AV62" s="29">
        <v>0</v>
      </c>
      <c r="AW62" s="29">
        <v>0</v>
      </c>
      <c r="AX62" s="29">
        <v>0</v>
      </c>
      <c r="AY62" s="29">
        <v>0</v>
      </c>
      <c r="AZ62" s="191">
        <f t="shared" si="7"/>
        <v>938268.6</v>
      </c>
      <c r="BA62" s="29">
        <v>669164.79</v>
      </c>
      <c r="BB62" s="29">
        <v>74419.41</v>
      </c>
      <c r="BC62" s="29">
        <v>0</v>
      </c>
      <c r="BD62" s="29">
        <v>31063.32</v>
      </c>
      <c r="BE62" s="29">
        <v>92598.76</v>
      </c>
      <c r="BF62" s="29">
        <v>24285.1</v>
      </c>
      <c r="BG62" s="29">
        <v>0</v>
      </c>
      <c r="BH62" s="29">
        <v>46737.22</v>
      </c>
      <c r="BI62" s="29">
        <v>0</v>
      </c>
      <c r="BJ62" s="191">
        <f t="shared" si="8"/>
        <v>938268.6</v>
      </c>
      <c r="BK62" s="191">
        <f t="shared" si="9"/>
        <v>144566.19</v>
      </c>
      <c r="BL62" s="191">
        <f>$BO$9+SUMPRODUCT($D$10:D62,$BK$10:BK62)</f>
        <v>-10946015.954611693</v>
      </c>
      <c r="BM62" s="30">
        <f t="shared" si="10"/>
        <v>6</v>
      </c>
      <c r="BN62" s="191">
        <f t="shared" si="13"/>
        <v>1493640.95585</v>
      </c>
      <c r="BO62" s="192">
        <f t="shared" si="11"/>
        <v>26532223.076730002</v>
      </c>
      <c r="BP62" s="41">
        <f t="shared" si="14"/>
        <v>41838.75065621001</v>
      </c>
      <c r="BQ62" s="41">
        <f t="shared" si="15"/>
        <v>2196534.4094510255</v>
      </c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 s="193">
        <f t="shared" si="20"/>
        <v>54</v>
      </c>
      <c r="B63" s="194">
        <f t="shared" si="20"/>
        <v>2072</v>
      </c>
      <c r="C63" s="29">
        <v>6</v>
      </c>
      <c r="D63" s="191">
        <f t="shared" si="16"/>
        <v>4.301E-2</v>
      </c>
      <c r="E63" s="29">
        <v>3438843.57</v>
      </c>
      <c r="F63" s="191">
        <f t="shared" si="18"/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191">
        <f t="shared" si="1"/>
        <v>457251.57</v>
      </c>
      <c r="N63" s="29">
        <v>353497.76</v>
      </c>
      <c r="O63" s="29">
        <v>26778.34</v>
      </c>
      <c r="P63" s="29">
        <v>0</v>
      </c>
      <c r="Q63" s="29">
        <v>16281.43</v>
      </c>
      <c r="R63" s="29">
        <v>48534.66</v>
      </c>
      <c r="S63" s="29">
        <v>12159.38</v>
      </c>
      <c r="T63" s="29">
        <v>0</v>
      </c>
      <c r="U63" s="191">
        <f t="shared" si="2"/>
        <v>349532.12</v>
      </c>
      <c r="V63" s="29">
        <v>270220.65999999997</v>
      </c>
      <c r="W63" s="29">
        <v>20469.89</v>
      </c>
      <c r="X63" s="29">
        <v>0</v>
      </c>
      <c r="Y63" s="29">
        <v>12445.85</v>
      </c>
      <c r="Z63" s="29">
        <v>37100.85</v>
      </c>
      <c r="AA63" s="29">
        <v>9294.8700000000008</v>
      </c>
      <c r="AB63" s="29">
        <v>0</v>
      </c>
      <c r="AC63" s="191">
        <f t="shared" si="3"/>
        <v>0</v>
      </c>
      <c r="AD63" s="29">
        <v>0</v>
      </c>
      <c r="AE63" s="29">
        <v>0</v>
      </c>
      <c r="AF63" s="29">
        <v>0</v>
      </c>
      <c r="AG63" s="29">
        <v>0</v>
      </c>
      <c r="AH63" s="191">
        <f t="shared" si="4"/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196294.57</v>
      </c>
      <c r="AO63" s="29">
        <v>0</v>
      </c>
      <c r="AP63" s="29">
        <v>0</v>
      </c>
      <c r="AQ63" s="29">
        <v>0</v>
      </c>
      <c r="AR63" s="191">
        <f t="shared" si="5"/>
        <v>1003078.26</v>
      </c>
      <c r="AS63" s="191">
        <f t="shared" si="6"/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191">
        <f t="shared" si="7"/>
        <v>884850.78</v>
      </c>
      <c r="BA63" s="29">
        <v>659082.44999999995</v>
      </c>
      <c r="BB63" s="29">
        <v>48246.69</v>
      </c>
      <c r="BC63" s="29">
        <v>0</v>
      </c>
      <c r="BD63" s="29">
        <v>30180.7</v>
      </c>
      <c r="BE63" s="29">
        <v>89960.89</v>
      </c>
      <c r="BF63" s="29">
        <v>22689.01</v>
      </c>
      <c r="BG63" s="29">
        <v>0</v>
      </c>
      <c r="BH63" s="29">
        <v>34691.040000000001</v>
      </c>
      <c r="BI63" s="29">
        <v>0</v>
      </c>
      <c r="BJ63" s="191">
        <f t="shared" si="8"/>
        <v>884850.78</v>
      </c>
      <c r="BK63" s="191">
        <f t="shared" si="9"/>
        <v>118227.48</v>
      </c>
      <c r="BL63" s="191">
        <f>$BO$9+SUMPRODUCT($D$10:D63,$BK$10:BK63)</f>
        <v>-10940930.990696892</v>
      </c>
      <c r="BM63" s="30">
        <f t="shared" si="10"/>
        <v>6</v>
      </c>
      <c r="BN63" s="191">
        <f t="shared" si="13"/>
        <v>1591933.3846</v>
      </c>
      <c r="BO63" s="192">
        <f t="shared" si="11"/>
        <v>28242383.941330001</v>
      </c>
      <c r="BP63" s="41">
        <f t="shared" si="14"/>
        <v>37638.884438060784</v>
      </c>
      <c r="BQ63" s="41">
        <f t="shared" si="15"/>
        <v>2013680.317436252</v>
      </c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 s="193">
        <f t="shared" si="20"/>
        <v>55</v>
      </c>
      <c r="B64" s="194">
        <f t="shared" si="20"/>
        <v>2073</v>
      </c>
      <c r="C64" s="29">
        <v>6</v>
      </c>
      <c r="D64" s="191">
        <f t="shared" si="16"/>
        <v>4.0579999999999998E-2</v>
      </c>
      <c r="E64" s="29">
        <v>3085121.37</v>
      </c>
      <c r="F64" s="191">
        <f t="shared" si="18"/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191">
        <f t="shared" si="1"/>
        <v>415174.53</v>
      </c>
      <c r="N64" s="29">
        <v>316645.81</v>
      </c>
      <c r="O64" s="29">
        <v>28381.38</v>
      </c>
      <c r="P64" s="29">
        <v>0</v>
      </c>
      <c r="Q64" s="29">
        <v>14865.59</v>
      </c>
      <c r="R64" s="29">
        <v>44457.17</v>
      </c>
      <c r="S64" s="29">
        <v>10824.58</v>
      </c>
      <c r="T64" s="29">
        <v>0</v>
      </c>
      <c r="U64" s="191">
        <f t="shared" si="2"/>
        <v>317367.59999999998</v>
      </c>
      <c r="V64" s="29">
        <v>242050.3</v>
      </c>
      <c r="W64" s="29">
        <v>21695.279999999999</v>
      </c>
      <c r="X64" s="29">
        <v>0</v>
      </c>
      <c r="Y64" s="29">
        <v>11363.55</v>
      </c>
      <c r="Z64" s="29">
        <v>33983.94</v>
      </c>
      <c r="AA64" s="29">
        <v>8274.5300000000007</v>
      </c>
      <c r="AB64" s="29">
        <v>0</v>
      </c>
      <c r="AC64" s="191">
        <f t="shared" si="3"/>
        <v>0</v>
      </c>
      <c r="AD64" s="29">
        <v>0</v>
      </c>
      <c r="AE64" s="29">
        <v>0</v>
      </c>
      <c r="AF64" s="29">
        <v>0</v>
      </c>
      <c r="AG64" s="29">
        <v>0</v>
      </c>
      <c r="AH64" s="191">
        <f t="shared" si="4"/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189045.35</v>
      </c>
      <c r="AO64" s="29">
        <v>0</v>
      </c>
      <c r="AP64" s="29">
        <v>0</v>
      </c>
      <c r="AQ64" s="29">
        <v>0</v>
      </c>
      <c r="AR64" s="191">
        <f t="shared" si="5"/>
        <v>921587.48</v>
      </c>
      <c r="AS64" s="191">
        <f t="shared" si="6"/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191">
        <f t="shared" si="7"/>
        <v>784651.12</v>
      </c>
      <c r="BA64" s="29">
        <v>581518.93000000005</v>
      </c>
      <c r="BB64" s="29">
        <v>51136.09</v>
      </c>
      <c r="BC64" s="29">
        <v>0</v>
      </c>
      <c r="BD64" s="29">
        <v>27198.27</v>
      </c>
      <c r="BE64" s="29">
        <v>81340.05</v>
      </c>
      <c r="BF64" s="29">
        <v>19884.580000000002</v>
      </c>
      <c r="BG64" s="29">
        <v>0</v>
      </c>
      <c r="BH64" s="29">
        <v>23573.200000000001</v>
      </c>
      <c r="BI64" s="29">
        <v>0</v>
      </c>
      <c r="BJ64" s="191">
        <f t="shared" si="8"/>
        <v>784651.12</v>
      </c>
      <c r="BK64" s="191">
        <f t="shared" si="9"/>
        <v>136936.35999999999</v>
      </c>
      <c r="BL64" s="191">
        <f>$BO$9+SUMPRODUCT($D$10:D64,$BK$10:BK64)</f>
        <v>-10935374.113208093</v>
      </c>
      <c r="BM64" s="30">
        <f t="shared" si="10"/>
        <v>6</v>
      </c>
      <c r="BN64" s="191">
        <f t="shared" si="13"/>
        <v>1694543.03648</v>
      </c>
      <c r="BO64" s="192">
        <f t="shared" si="11"/>
        <v>30073863.337809999</v>
      </c>
      <c r="BP64" s="41">
        <f t="shared" si="14"/>
        <v>31787.726350219811</v>
      </c>
      <c r="BQ64" s="41">
        <f t="shared" si="15"/>
        <v>1732431.0860869796</v>
      </c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 s="193">
        <f t="shared" si="20"/>
        <v>56</v>
      </c>
      <c r="B65" s="194">
        <f t="shared" si="20"/>
        <v>2074</v>
      </c>
      <c r="C65" s="29">
        <v>6</v>
      </c>
      <c r="D65" s="191">
        <f t="shared" si="16"/>
        <v>3.8280000000000002E-2</v>
      </c>
      <c r="E65" s="29">
        <v>2523556.7599999998</v>
      </c>
      <c r="F65" s="191">
        <f t="shared" si="18"/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191">
        <f t="shared" si="1"/>
        <v>340375.24</v>
      </c>
      <c r="N65" s="29">
        <v>282279.37</v>
      </c>
      <c r="O65" s="29">
        <v>0</v>
      </c>
      <c r="P65" s="29">
        <v>0</v>
      </c>
      <c r="Q65" s="29">
        <v>12369.25</v>
      </c>
      <c r="R65" s="29">
        <v>37120.33</v>
      </c>
      <c r="S65" s="29">
        <v>8606.2900000000009</v>
      </c>
      <c r="T65" s="29">
        <v>0</v>
      </c>
      <c r="U65" s="191">
        <f t="shared" si="2"/>
        <v>260189.56</v>
      </c>
      <c r="V65" s="29">
        <v>215779.93</v>
      </c>
      <c r="W65" s="29">
        <v>0</v>
      </c>
      <c r="X65" s="29">
        <v>0</v>
      </c>
      <c r="Y65" s="29">
        <v>9455.2999999999993</v>
      </c>
      <c r="Z65" s="29">
        <v>28375.52</v>
      </c>
      <c r="AA65" s="29">
        <v>6578.81</v>
      </c>
      <c r="AB65" s="29">
        <v>0</v>
      </c>
      <c r="AC65" s="191">
        <f t="shared" si="3"/>
        <v>0</v>
      </c>
      <c r="AD65" s="29">
        <v>0</v>
      </c>
      <c r="AE65" s="29">
        <v>0</v>
      </c>
      <c r="AF65" s="29">
        <v>0</v>
      </c>
      <c r="AG65" s="29">
        <v>0</v>
      </c>
      <c r="AH65" s="191">
        <f t="shared" si="4"/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29">
        <v>170026.69</v>
      </c>
      <c r="AO65" s="29">
        <v>0</v>
      </c>
      <c r="AP65" s="29">
        <v>0</v>
      </c>
      <c r="AQ65" s="29">
        <v>0</v>
      </c>
      <c r="AR65" s="191">
        <f t="shared" si="5"/>
        <v>770591.49</v>
      </c>
      <c r="AS65" s="191">
        <f t="shared" si="6"/>
        <v>0</v>
      </c>
      <c r="AT65" s="29">
        <v>0</v>
      </c>
      <c r="AU65" s="29">
        <v>0</v>
      </c>
      <c r="AV65" s="29">
        <v>0</v>
      </c>
      <c r="AW65" s="29">
        <v>0</v>
      </c>
      <c r="AX65" s="29">
        <v>0</v>
      </c>
      <c r="AY65" s="29">
        <v>0</v>
      </c>
      <c r="AZ65" s="191">
        <f t="shared" si="7"/>
        <v>641839.93999999994</v>
      </c>
      <c r="BA65" s="29">
        <v>515243.67</v>
      </c>
      <c r="BB65" s="29">
        <v>0</v>
      </c>
      <c r="BC65" s="29">
        <v>0</v>
      </c>
      <c r="BD65" s="29">
        <v>22519.18</v>
      </c>
      <c r="BE65" s="29">
        <v>67585.66</v>
      </c>
      <c r="BF65" s="29">
        <v>15738.98</v>
      </c>
      <c r="BG65" s="29">
        <v>0</v>
      </c>
      <c r="BH65" s="29">
        <v>20752.45</v>
      </c>
      <c r="BI65" s="29">
        <v>0</v>
      </c>
      <c r="BJ65" s="191">
        <f t="shared" si="8"/>
        <v>641839.93999999994</v>
      </c>
      <c r="BK65" s="191">
        <f t="shared" si="9"/>
        <v>128751.55</v>
      </c>
      <c r="BL65" s="191">
        <f>$BO$9+SUMPRODUCT($D$10:D65,$BK$10:BK65)</f>
        <v>-10930445.503874093</v>
      </c>
      <c r="BM65" s="30">
        <f t="shared" si="10"/>
        <v>6</v>
      </c>
      <c r="BN65" s="191">
        <f t="shared" si="13"/>
        <v>1804431.80027</v>
      </c>
      <c r="BO65" s="192">
        <f t="shared" si="11"/>
        <v>32007046.688080002</v>
      </c>
      <c r="BP65" s="41">
        <f t="shared" si="14"/>
        <v>24472.439275095421</v>
      </c>
      <c r="BQ65" s="41">
        <f t="shared" si="15"/>
        <v>1358220.3797677958</v>
      </c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A66" s="193">
        <f t="shared" si="20"/>
        <v>57</v>
      </c>
      <c r="B66" s="194">
        <f t="shared" si="20"/>
        <v>2075</v>
      </c>
      <c r="C66" s="29">
        <v>6</v>
      </c>
      <c r="D66" s="191">
        <f t="shared" si="16"/>
        <v>3.6110000000000003E-2</v>
      </c>
      <c r="E66" s="29">
        <v>2206076.25</v>
      </c>
      <c r="F66" s="191">
        <f t="shared" si="18"/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191">
        <f t="shared" si="1"/>
        <v>301459.62</v>
      </c>
      <c r="N66" s="29">
        <v>249637.71</v>
      </c>
      <c r="O66" s="29">
        <v>0</v>
      </c>
      <c r="P66" s="29">
        <v>0</v>
      </c>
      <c r="Q66" s="29">
        <v>11073.5</v>
      </c>
      <c r="R66" s="29">
        <v>33261.65</v>
      </c>
      <c r="S66" s="29">
        <v>7486.76</v>
      </c>
      <c r="T66" s="29">
        <v>0</v>
      </c>
      <c r="U66" s="191">
        <f t="shared" si="2"/>
        <v>230441.68</v>
      </c>
      <c r="V66" s="29">
        <v>190828</v>
      </c>
      <c r="W66" s="29">
        <v>0</v>
      </c>
      <c r="X66" s="29">
        <v>0</v>
      </c>
      <c r="Y66" s="29">
        <v>8464.7999999999993</v>
      </c>
      <c r="Z66" s="29">
        <v>25425.86</v>
      </c>
      <c r="AA66" s="29">
        <v>5723.02</v>
      </c>
      <c r="AB66" s="29">
        <v>0</v>
      </c>
      <c r="AC66" s="191">
        <f t="shared" si="3"/>
        <v>0</v>
      </c>
      <c r="AD66" s="29">
        <v>0</v>
      </c>
      <c r="AE66" s="29">
        <v>0</v>
      </c>
      <c r="AF66" s="29">
        <v>0</v>
      </c>
      <c r="AG66" s="29">
        <v>0</v>
      </c>
      <c r="AH66" s="191">
        <f t="shared" si="4"/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140332.22</v>
      </c>
      <c r="AO66" s="29">
        <v>0</v>
      </c>
      <c r="AP66" s="29">
        <v>0</v>
      </c>
      <c r="AQ66" s="29">
        <v>0</v>
      </c>
      <c r="AR66" s="191">
        <f t="shared" si="5"/>
        <v>672233.52</v>
      </c>
      <c r="AS66" s="191">
        <f t="shared" si="6"/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191">
        <f t="shared" si="7"/>
        <v>559527.98</v>
      </c>
      <c r="BA66" s="29">
        <v>451198.03</v>
      </c>
      <c r="BB66" s="29">
        <v>0</v>
      </c>
      <c r="BC66" s="29">
        <v>0</v>
      </c>
      <c r="BD66" s="29">
        <v>19969.73</v>
      </c>
      <c r="BE66" s="29">
        <v>59990.93</v>
      </c>
      <c r="BF66" s="29">
        <v>13549.55</v>
      </c>
      <c r="BG66" s="29">
        <v>0</v>
      </c>
      <c r="BH66" s="29">
        <v>14819.74</v>
      </c>
      <c r="BI66" s="29">
        <v>0</v>
      </c>
      <c r="BJ66" s="191">
        <f t="shared" si="8"/>
        <v>559527.98</v>
      </c>
      <c r="BK66" s="191">
        <f t="shared" si="9"/>
        <v>112705.54</v>
      </c>
      <c r="BL66" s="191">
        <f>$BO$9+SUMPRODUCT($D$10:D66,$BK$10:BK66)</f>
        <v>-10926375.706824694</v>
      </c>
      <c r="BM66" s="30">
        <f t="shared" si="10"/>
        <v>6</v>
      </c>
      <c r="BN66" s="191">
        <f t="shared" si="13"/>
        <v>1920422.80128</v>
      </c>
      <c r="BO66" s="192">
        <f t="shared" si="11"/>
        <v>34040175.029359996</v>
      </c>
      <c r="BP66" s="41">
        <f t="shared" si="14"/>
        <v>20248.019835374133</v>
      </c>
      <c r="BQ66" s="41">
        <f t="shared" si="15"/>
        <v>1144013.1206986385</v>
      </c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 s="193">
        <f t="shared" si="20"/>
        <v>58</v>
      </c>
      <c r="B67" s="194">
        <f t="shared" si="20"/>
        <v>2076</v>
      </c>
      <c r="C67" s="29">
        <v>6</v>
      </c>
      <c r="D67" s="191">
        <f t="shared" si="16"/>
        <v>3.4070000000000003E-2</v>
      </c>
      <c r="E67" s="29">
        <v>1590012.38</v>
      </c>
      <c r="F67" s="191">
        <f t="shared" si="18"/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191">
        <f t="shared" si="1"/>
        <v>215510.56</v>
      </c>
      <c r="N67" s="29">
        <v>177777.99</v>
      </c>
      <c r="O67" s="29">
        <v>0</v>
      </c>
      <c r="P67" s="29">
        <v>0</v>
      </c>
      <c r="Q67" s="29">
        <v>8132.7</v>
      </c>
      <c r="R67" s="29">
        <v>24424.32</v>
      </c>
      <c r="S67" s="29">
        <v>5175.55</v>
      </c>
      <c r="T67" s="29">
        <v>0</v>
      </c>
      <c r="U67" s="191">
        <f t="shared" si="2"/>
        <v>164740.53</v>
      </c>
      <c r="V67" s="29">
        <v>135897</v>
      </c>
      <c r="W67" s="29">
        <v>0</v>
      </c>
      <c r="X67" s="29">
        <v>0</v>
      </c>
      <c r="Y67" s="29">
        <v>6216.8</v>
      </c>
      <c r="Z67" s="29">
        <v>18670.439999999999</v>
      </c>
      <c r="AA67" s="29">
        <v>3956.29</v>
      </c>
      <c r="AB67" s="29">
        <v>0</v>
      </c>
      <c r="AC67" s="191">
        <f t="shared" si="3"/>
        <v>0</v>
      </c>
      <c r="AD67" s="29">
        <v>0</v>
      </c>
      <c r="AE67" s="29">
        <v>0</v>
      </c>
      <c r="AF67" s="29">
        <v>0</v>
      </c>
      <c r="AG67" s="29">
        <v>0</v>
      </c>
      <c r="AH67" s="191">
        <f t="shared" si="4"/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123917.31</v>
      </c>
      <c r="AO67" s="29">
        <v>0</v>
      </c>
      <c r="AP67" s="29">
        <v>0</v>
      </c>
      <c r="AQ67" s="29">
        <v>0</v>
      </c>
      <c r="AR67" s="191">
        <f t="shared" si="5"/>
        <v>504168.4</v>
      </c>
      <c r="AS67" s="191">
        <f t="shared" si="6"/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191">
        <f t="shared" si="7"/>
        <v>392525.32</v>
      </c>
      <c r="BA67" s="29">
        <v>316069.36</v>
      </c>
      <c r="BB67" s="29">
        <v>0</v>
      </c>
      <c r="BC67" s="29">
        <v>0</v>
      </c>
      <c r="BD67" s="29">
        <v>14443.91</v>
      </c>
      <c r="BE67" s="29">
        <v>43382.69</v>
      </c>
      <c r="BF67" s="29">
        <v>9205.4</v>
      </c>
      <c r="BG67" s="29">
        <v>0</v>
      </c>
      <c r="BH67" s="29">
        <v>9423.9599999999991</v>
      </c>
      <c r="BI67" s="29">
        <v>0</v>
      </c>
      <c r="BJ67" s="191">
        <f t="shared" si="8"/>
        <v>392525.32</v>
      </c>
      <c r="BK67" s="191">
        <f t="shared" si="9"/>
        <v>111643.08</v>
      </c>
      <c r="BL67" s="191">
        <f>$BO$9+SUMPRODUCT($D$10:D67,$BK$10:BK67)</f>
        <v>-10922572.027089095</v>
      </c>
      <c r="BM67" s="30">
        <f t="shared" si="10"/>
        <v>6</v>
      </c>
      <c r="BN67" s="191">
        <f t="shared" si="13"/>
        <v>2042410.5017599999</v>
      </c>
      <c r="BO67" s="192">
        <f t="shared" si="11"/>
        <v>36194228.61112</v>
      </c>
      <c r="BP67" s="41">
        <f t="shared" si="14"/>
        <v>13434.652608860437</v>
      </c>
      <c r="BQ67" s="41">
        <f t="shared" si="15"/>
        <v>772492.52500947507</v>
      </c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 s="193">
        <f t="shared" si="20"/>
        <v>59</v>
      </c>
      <c r="B68" s="194">
        <f t="shared" si="20"/>
        <v>2077</v>
      </c>
      <c r="C68" s="29">
        <v>6</v>
      </c>
      <c r="D68" s="191">
        <f t="shared" si="16"/>
        <v>3.2140000000000002E-2</v>
      </c>
      <c r="E68" s="29">
        <v>1201261.54</v>
      </c>
      <c r="F68" s="191">
        <f t="shared" si="18"/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191">
        <f t="shared" si="1"/>
        <v>164723.14000000001</v>
      </c>
      <c r="N68" s="29">
        <v>135825.95000000001</v>
      </c>
      <c r="O68" s="29">
        <v>0</v>
      </c>
      <c r="P68" s="29">
        <v>0</v>
      </c>
      <c r="Q68" s="29">
        <v>6235.4</v>
      </c>
      <c r="R68" s="29">
        <v>18772.52</v>
      </c>
      <c r="S68" s="29">
        <v>3889.27</v>
      </c>
      <c r="T68" s="29">
        <v>0</v>
      </c>
      <c r="U68" s="191">
        <f t="shared" si="2"/>
        <v>125917.63</v>
      </c>
      <c r="V68" s="29">
        <v>103828.04</v>
      </c>
      <c r="W68" s="29">
        <v>0</v>
      </c>
      <c r="X68" s="29">
        <v>0</v>
      </c>
      <c r="Y68" s="29">
        <v>4766.47</v>
      </c>
      <c r="Z68" s="29">
        <v>14350.08</v>
      </c>
      <c r="AA68" s="29">
        <v>2973.04</v>
      </c>
      <c r="AB68" s="29">
        <v>0</v>
      </c>
      <c r="AC68" s="191">
        <f t="shared" si="3"/>
        <v>0</v>
      </c>
      <c r="AD68" s="29">
        <v>0</v>
      </c>
      <c r="AE68" s="29">
        <v>0</v>
      </c>
      <c r="AF68" s="29">
        <v>0</v>
      </c>
      <c r="AG68" s="29">
        <v>0</v>
      </c>
      <c r="AH68" s="191">
        <f t="shared" si="4"/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88335.62</v>
      </c>
      <c r="AO68" s="29">
        <v>0</v>
      </c>
      <c r="AP68" s="29">
        <v>0</v>
      </c>
      <c r="AQ68" s="29">
        <v>0</v>
      </c>
      <c r="AR68" s="191">
        <f t="shared" si="5"/>
        <v>378976.39</v>
      </c>
      <c r="AS68" s="191">
        <f t="shared" si="6"/>
        <v>0</v>
      </c>
      <c r="AT68" s="29">
        <v>0</v>
      </c>
      <c r="AU68" s="29">
        <v>0</v>
      </c>
      <c r="AV68" s="29">
        <v>0</v>
      </c>
      <c r="AW68" s="29">
        <v>0</v>
      </c>
      <c r="AX68" s="29">
        <v>0</v>
      </c>
      <c r="AY68" s="29">
        <v>0</v>
      </c>
      <c r="AZ68" s="191">
        <f t="shared" si="7"/>
        <v>293195.95</v>
      </c>
      <c r="BA68" s="29">
        <v>240096.27</v>
      </c>
      <c r="BB68" s="29">
        <v>0</v>
      </c>
      <c r="BC68" s="29">
        <v>0</v>
      </c>
      <c r="BD68" s="29">
        <v>11019.44</v>
      </c>
      <c r="BE68" s="29">
        <v>33176.39</v>
      </c>
      <c r="BF68" s="29">
        <v>6875.5</v>
      </c>
      <c r="BG68" s="29">
        <v>0</v>
      </c>
      <c r="BH68" s="29">
        <v>2028.35</v>
      </c>
      <c r="BI68" s="29">
        <v>0</v>
      </c>
      <c r="BJ68" s="191">
        <f t="shared" si="8"/>
        <v>293195.95</v>
      </c>
      <c r="BK68" s="191">
        <f t="shared" si="9"/>
        <v>85780.44</v>
      </c>
      <c r="BL68" s="191">
        <f>$BO$9+SUMPRODUCT($D$10:D68,$BK$10:BK68)</f>
        <v>-10919815.043747494</v>
      </c>
      <c r="BM68" s="30">
        <f t="shared" si="10"/>
        <v>6</v>
      </c>
      <c r="BN68" s="191">
        <f t="shared" si="13"/>
        <v>2171653.71667</v>
      </c>
      <c r="BO68" s="192">
        <f t="shared" si="11"/>
        <v>38451662.767789997</v>
      </c>
      <c r="BP68" s="41">
        <f t="shared" si="14"/>
        <v>9632.7420063601257</v>
      </c>
      <c r="BQ68" s="41">
        <f t="shared" si="15"/>
        <v>563515.40737206733</v>
      </c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A69" s="193">
        <f t="shared" si="20"/>
        <v>60</v>
      </c>
      <c r="B69" s="194">
        <f t="shared" si="20"/>
        <v>2078</v>
      </c>
      <c r="C69" s="29">
        <v>6</v>
      </c>
      <c r="D69" s="191">
        <f t="shared" si="16"/>
        <v>3.032E-2</v>
      </c>
      <c r="E69" s="29">
        <v>403393.05</v>
      </c>
      <c r="F69" s="191">
        <f t="shared" si="18"/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191">
        <f t="shared" si="1"/>
        <v>52135.71</v>
      </c>
      <c r="N69" s="29">
        <v>42671.34</v>
      </c>
      <c r="O69" s="29">
        <v>0</v>
      </c>
      <c r="P69" s="29">
        <v>0</v>
      </c>
      <c r="Q69" s="29">
        <v>2073.7399999999998</v>
      </c>
      <c r="R69" s="29">
        <v>6237.77</v>
      </c>
      <c r="S69" s="29">
        <v>1152.8599999999999</v>
      </c>
      <c r="T69" s="29">
        <v>0</v>
      </c>
      <c r="U69" s="191">
        <f t="shared" si="2"/>
        <v>39853.5694</v>
      </c>
      <c r="V69" s="29">
        <v>32618.82</v>
      </c>
      <c r="W69" s="29">
        <v>0</v>
      </c>
      <c r="X69" s="29">
        <v>0</v>
      </c>
      <c r="Y69" s="29">
        <v>1585.21</v>
      </c>
      <c r="Z69" s="29">
        <v>4768.2700000000004</v>
      </c>
      <c r="AA69" s="29">
        <v>881.26940000000002</v>
      </c>
      <c r="AB69" s="29">
        <v>0</v>
      </c>
      <c r="AC69" s="191">
        <f t="shared" si="3"/>
        <v>0</v>
      </c>
      <c r="AD69" s="29">
        <v>0</v>
      </c>
      <c r="AE69" s="29">
        <v>0</v>
      </c>
      <c r="AF69" s="29">
        <v>0</v>
      </c>
      <c r="AG69" s="29">
        <v>0</v>
      </c>
      <c r="AH69" s="191">
        <f t="shared" si="4"/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29">
        <v>67394.570000000007</v>
      </c>
      <c r="AO69" s="29">
        <v>0</v>
      </c>
      <c r="AP69" s="29">
        <v>0</v>
      </c>
      <c r="AQ69" s="29">
        <v>0</v>
      </c>
      <c r="AR69" s="191">
        <f t="shared" si="5"/>
        <v>159383.84940000001</v>
      </c>
      <c r="AS69" s="191">
        <f t="shared" si="6"/>
        <v>0</v>
      </c>
      <c r="AT69" s="29">
        <v>0</v>
      </c>
      <c r="AU69" s="29">
        <v>0</v>
      </c>
      <c r="AV69" s="29">
        <v>0</v>
      </c>
      <c r="AW69" s="29">
        <v>0</v>
      </c>
      <c r="AX69" s="29">
        <v>0</v>
      </c>
      <c r="AY69" s="29">
        <v>0</v>
      </c>
      <c r="AZ69" s="191">
        <f t="shared" si="7"/>
        <v>93286.29</v>
      </c>
      <c r="BA69" s="29">
        <v>75290.16</v>
      </c>
      <c r="BB69" s="29">
        <v>0</v>
      </c>
      <c r="BC69" s="29">
        <v>0</v>
      </c>
      <c r="BD69" s="29">
        <v>3658.95</v>
      </c>
      <c r="BE69" s="29">
        <v>11006.04</v>
      </c>
      <c r="BF69" s="29">
        <v>2034.13</v>
      </c>
      <c r="BG69" s="29">
        <v>0</v>
      </c>
      <c r="BH69" s="29">
        <v>1297.01</v>
      </c>
      <c r="BI69" s="29">
        <v>0</v>
      </c>
      <c r="BJ69" s="191">
        <f t="shared" si="8"/>
        <v>93286.29</v>
      </c>
      <c r="BK69" s="191">
        <f t="shared" si="9"/>
        <v>66097.559399999998</v>
      </c>
      <c r="BL69" s="191">
        <f>$BO$9+SUMPRODUCT($D$10:D69,$BK$10:BK69)</f>
        <v>-10917810.965746487</v>
      </c>
      <c r="BM69" s="30">
        <f t="shared" si="10"/>
        <v>6</v>
      </c>
      <c r="BN69" s="191">
        <f t="shared" si="13"/>
        <v>2307099.7660699999</v>
      </c>
      <c r="BO69" s="192">
        <f t="shared" si="11"/>
        <v>40824860.093259998</v>
      </c>
      <c r="BP69" s="41">
        <f t="shared" si="14"/>
        <v>2871.0333440026611</v>
      </c>
      <c r="BQ69" s="41">
        <f t="shared" si="15"/>
        <v>170826.48396815834</v>
      </c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>
      <c r="A70" s="193">
        <f t="shared" si="20"/>
        <v>61</v>
      </c>
      <c r="B70" s="194">
        <f t="shared" si="20"/>
        <v>2079</v>
      </c>
      <c r="C70" s="29">
        <v>6</v>
      </c>
      <c r="D70" s="191">
        <f t="shared" si="16"/>
        <v>2.86E-2</v>
      </c>
      <c r="E70" s="29">
        <v>267370.71999999997</v>
      </c>
      <c r="F70" s="191">
        <f t="shared" si="18"/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191">
        <f t="shared" si="1"/>
        <v>34634.171119999999</v>
      </c>
      <c r="N70" s="29">
        <v>28343.59</v>
      </c>
      <c r="O70" s="29">
        <v>0</v>
      </c>
      <c r="P70" s="29">
        <v>0</v>
      </c>
      <c r="Q70" s="29">
        <v>1380.49</v>
      </c>
      <c r="R70" s="29">
        <v>4161.08</v>
      </c>
      <c r="S70" s="29">
        <v>749.01112000000001</v>
      </c>
      <c r="T70" s="29">
        <v>0</v>
      </c>
      <c r="U70" s="191">
        <f t="shared" si="2"/>
        <v>26475.03888</v>
      </c>
      <c r="V70" s="29">
        <v>21666.400000000001</v>
      </c>
      <c r="W70" s="29">
        <v>0</v>
      </c>
      <c r="X70" s="29">
        <v>0</v>
      </c>
      <c r="Y70" s="29">
        <v>1055.27</v>
      </c>
      <c r="Z70" s="29">
        <v>3180.81</v>
      </c>
      <c r="AA70" s="29">
        <v>572.55888000000004</v>
      </c>
      <c r="AB70" s="29">
        <v>0</v>
      </c>
      <c r="AC70" s="191">
        <f t="shared" si="3"/>
        <v>0</v>
      </c>
      <c r="AD70" s="29">
        <v>0</v>
      </c>
      <c r="AE70" s="29">
        <v>0</v>
      </c>
      <c r="AF70" s="29">
        <v>0</v>
      </c>
      <c r="AG70" s="29">
        <v>0</v>
      </c>
      <c r="AH70" s="191">
        <f t="shared" si="4"/>
        <v>0</v>
      </c>
      <c r="AI70" s="29">
        <v>0</v>
      </c>
      <c r="AJ70" s="29">
        <v>0</v>
      </c>
      <c r="AK70" s="29">
        <v>0</v>
      </c>
      <c r="AL70" s="29">
        <v>0</v>
      </c>
      <c r="AM70" s="29">
        <v>0</v>
      </c>
      <c r="AN70" s="29">
        <v>21638.36</v>
      </c>
      <c r="AO70" s="29">
        <v>0</v>
      </c>
      <c r="AP70" s="29">
        <v>0</v>
      </c>
      <c r="AQ70" s="29">
        <v>0</v>
      </c>
      <c r="AR70" s="191">
        <f t="shared" si="5"/>
        <v>82747.570000000007</v>
      </c>
      <c r="AS70" s="191">
        <f t="shared" si="6"/>
        <v>0</v>
      </c>
      <c r="AT70" s="29">
        <v>0</v>
      </c>
      <c r="AU70" s="29">
        <v>0</v>
      </c>
      <c r="AV70" s="29">
        <v>0</v>
      </c>
      <c r="AW70" s="29">
        <v>0</v>
      </c>
      <c r="AX70" s="29">
        <v>0</v>
      </c>
      <c r="AY70" s="29">
        <v>0</v>
      </c>
      <c r="AZ70" s="191">
        <f t="shared" si="7"/>
        <v>61744.71</v>
      </c>
      <c r="BA70" s="29">
        <v>50009.99</v>
      </c>
      <c r="BB70" s="29">
        <v>0</v>
      </c>
      <c r="BC70" s="29">
        <v>0</v>
      </c>
      <c r="BD70" s="29">
        <v>2435.7600000000002</v>
      </c>
      <c r="BE70" s="29">
        <v>7341.89</v>
      </c>
      <c r="BF70" s="29">
        <v>1321.57</v>
      </c>
      <c r="BG70" s="29">
        <v>0</v>
      </c>
      <c r="BH70" s="29">
        <v>635.5</v>
      </c>
      <c r="BI70" s="29">
        <v>0</v>
      </c>
      <c r="BJ70" s="191">
        <f t="shared" si="8"/>
        <v>61744.71</v>
      </c>
      <c r="BK70" s="191">
        <f t="shared" si="9"/>
        <v>21002.86</v>
      </c>
      <c r="BL70" s="191">
        <f>$BO$9+SUMPRODUCT($D$10:D70,$BK$10:BK70)</f>
        <v>-10917210.283950487</v>
      </c>
      <c r="BM70" s="30">
        <f t="shared" si="10"/>
        <v>6</v>
      </c>
      <c r="BN70" s="191">
        <f t="shared" si="13"/>
        <v>2449491.6055999999</v>
      </c>
      <c r="BO70" s="192">
        <f t="shared" si="11"/>
        <v>43295354.558859996</v>
      </c>
      <c r="BP70" s="41">
        <f t="shared" si="14"/>
        <v>1799.2927118396644</v>
      </c>
      <c r="BQ70" s="41">
        <f t="shared" si="15"/>
        <v>108857.20906629969</v>
      </c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>
      <c r="A71" s="193">
        <f t="shared" si="20"/>
        <v>62</v>
      </c>
      <c r="B71" s="194">
        <f t="shared" si="20"/>
        <v>2080</v>
      </c>
      <c r="C71" s="29">
        <v>6</v>
      </c>
      <c r="D71" s="191">
        <f t="shared" si="16"/>
        <v>2.6980000000000001E-2</v>
      </c>
      <c r="E71" s="29">
        <v>182382.48</v>
      </c>
      <c r="F71" s="191">
        <f t="shared" si="18"/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191">
        <f t="shared" si="1"/>
        <v>24163.662950000002</v>
      </c>
      <c r="N71" s="29">
        <v>19819.41</v>
      </c>
      <c r="O71" s="29">
        <v>0</v>
      </c>
      <c r="P71" s="29">
        <v>0</v>
      </c>
      <c r="Q71" s="29">
        <v>950.82817999999997</v>
      </c>
      <c r="R71" s="29">
        <v>2874.75</v>
      </c>
      <c r="S71" s="29">
        <v>518.67476999999997</v>
      </c>
      <c r="T71" s="29">
        <v>0</v>
      </c>
      <c r="U71" s="191">
        <f t="shared" si="2"/>
        <v>18471.177049999998</v>
      </c>
      <c r="V71" s="29">
        <v>15150.34</v>
      </c>
      <c r="W71" s="29">
        <v>0</v>
      </c>
      <c r="X71" s="29">
        <v>0</v>
      </c>
      <c r="Y71" s="29">
        <v>726.83181999999999</v>
      </c>
      <c r="Z71" s="29">
        <v>2197.52</v>
      </c>
      <c r="AA71" s="29">
        <v>396.48523</v>
      </c>
      <c r="AB71" s="29">
        <v>0</v>
      </c>
      <c r="AC71" s="191">
        <f t="shared" si="3"/>
        <v>0</v>
      </c>
      <c r="AD71" s="29">
        <v>0</v>
      </c>
      <c r="AE71" s="29">
        <v>0</v>
      </c>
      <c r="AF71" s="29">
        <v>0</v>
      </c>
      <c r="AG71" s="29">
        <v>0</v>
      </c>
      <c r="AH71" s="191">
        <f t="shared" si="4"/>
        <v>0</v>
      </c>
      <c r="AI71" s="29">
        <v>0</v>
      </c>
      <c r="AJ71" s="29">
        <v>0</v>
      </c>
      <c r="AK71" s="29">
        <v>0</v>
      </c>
      <c r="AL71" s="29">
        <v>0</v>
      </c>
      <c r="AM71" s="29">
        <v>0</v>
      </c>
      <c r="AN71" s="29">
        <v>14332.56</v>
      </c>
      <c r="AO71" s="29">
        <v>0</v>
      </c>
      <c r="AP71" s="29">
        <v>0</v>
      </c>
      <c r="AQ71" s="29">
        <v>0</v>
      </c>
      <c r="AR71" s="191">
        <f t="shared" si="5"/>
        <v>56967.4</v>
      </c>
      <c r="AS71" s="191">
        <f t="shared" si="6"/>
        <v>0</v>
      </c>
      <c r="AT71" s="29">
        <v>0</v>
      </c>
      <c r="AU71" s="29">
        <v>0</v>
      </c>
      <c r="AV71" s="29">
        <v>0</v>
      </c>
      <c r="AW71" s="29">
        <v>0</v>
      </c>
      <c r="AX71" s="29">
        <v>0</v>
      </c>
      <c r="AY71" s="29">
        <v>0</v>
      </c>
      <c r="AZ71" s="191">
        <f t="shared" si="7"/>
        <v>42634.84</v>
      </c>
      <c r="BA71" s="29">
        <v>34969.75</v>
      </c>
      <c r="BB71" s="29">
        <v>0</v>
      </c>
      <c r="BC71" s="29">
        <v>0</v>
      </c>
      <c r="BD71" s="29">
        <v>1677.66</v>
      </c>
      <c r="BE71" s="29">
        <v>5072.2700000000004</v>
      </c>
      <c r="BF71" s="29">
        <v>915.16</v>
      </c>
      <c r="BG71" s="29">
        <v>0</v>
      </c>
      <c r="BH71" s="29">
        <v>0</v>
      </c>
      <c r="BI71" s="29">
        <v>0</v>
      </c>
      <c r="BJ71" s="191">
        <f t="shared" si="8"/>
        <v>42634.84</v>
      </c>
      <c r="BK71" s="191">
        <f t="shared" si="9"/>
        <v>14332.56</v>
      </c>
      <c r="BL71" s="191">
        <f>$BO$9+SUMPRODUCT($D$10:D71,$BK$10:BK71)</f>
        <v>-10916823.591481688</v>
      </c>
      <c r="BM71" s="30">
        <f t="shared" si="10"/>
        <v>6</v>
      </c>
      <c r="BN71" s="191">
        <f t="shared" si="13"/>
        <v>2597721.2735299999</v>
      </c>
      <c r="BO71" s="192">
        <f t="shared" si="11"/>
        <v>45907408.392389998</v>
      </c>
      <c r="BP71" s="41">
        <f t="shared" si="14"/>
        <v>1184.2787148051295</v>
      </c>
      <c r="BQ71" s="41">
        <f t="shared" si="15"/>
        <v>72833.140960515462</v>
      </c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A72" s="193">
        <f t="shared" si="20"/>
        <v>63</v>
      </c>
      <c r="B72" s="194">
        <f t="shared" si="20"/>
        <v>2081</v>
      </c>
      <c r="C72" s="29">
        <v>6</v>
      </c>
      <c r="D72" s="191">
        <f t="shared" si="16"/>
        <v>2.545E-2</v>
      </c>
      <c r="E72" s="29">
        <v>0</v>
      </c>
      <c r="F72" s="191">
        <f t="shared" si="18"/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191">
        <f t="shared" si="1"/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191">
        <f t="shared" si="2"/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191">
        <f t="shared" si="3"/>
        <v>0</v>
      </c>
      <c r="AD72" s="29">
        <v>0</v>
      </c>
      <c r="AE72" s="29">
        <v>0</v>
      </c>
      <c r="AF72" s="29">
        <v>0</v>
      </c>
      <c r="AG72" s="29">
        <v>0</v>
      </c>
      <c r="AH72" s="191">
        <f t="shared" si="4"/>
        <v>0</v>
      </c>
      <c r="AI72" s="29">
        <v>0</v>
      </c>
      <c r="AJ72" s="29">
        <v>0</v>
      </c>
      <c r="AK72" s="29">
        <v>0</v>
      </c>
      <c r="AL72" s="29">
        <v>0</v>
      </c>
      <c r="AM72" s="29">
        <v>0</v>
      </c>
      <c r="AN72" s="29">
        <v>9943.44</v>
      </c>
      <c r="AO72" s="29">
        <v>0</v>
      </c>
      <c r="AP72" s="29">
        <v>0</v>
      </c>
      <c r="AQ72" s="29">
        <v>0</v>
      </c>
      <c r="AR72" s="191">
        <f t="shared" si="5"/>
        <v>9943.44</v>
      </c>
      <c r="AS72" s="191">
        <f t="shared" si="6"/>
        <v>0</v>
      </c>
      <c r="AT72" s="29">
        <v>0</v>
      </c>
      <c r="AU72" s="29">
        <v>0</v>
      </c>
      <c r="AV72" s="29">
        <v>0</v>
      </c>
      <c r="AW72" s="29">
        <v>0</v>
      </c>
      <c r="AX72" s="29">
        <v>0</v>
      </c>
      <c r="AY72" s="29">
        <v>0</v>
      </c>
      <c r="AZ72" s="191">
        <f t="shared" si="7"/>
        <v>0</v>
      </c>
      <c r="BA72" s="29">
        <v>0</v>
      </c>
      <c r="BB72" s="29">
        <v>0</v>
      </c>
      <c r="BC72" s="29">
        <v>0</v>
      </c>
      <c r="BD72" s="29">
        <v>0</v>
      </c>
      <c r="BE72" s="29">
        <v>0</v>
      </c>
      <c r="BF72" s="29">
        <v>0</v>
      </c>
      <c r="BG72" s="29">
        <v>0</v>
      </c>
      <c r="BH72" s="29">
        <v>0</v>
      </c>
      <c r="BI72" s="29">
        <v>0</v>
      </c>
      <c r="BJ72" s="191">
        <f t="shared" si="8"/>
        <v>0</v>
      </c>
      <c r="BK72" s="191">
        <f t="shared" si="9"/>
        <v>9943.44</v>
      </c>
      <c r="BL72" s="191">
        <f>$BO$9+SUMPRODUCT($D$10:D72,$BK$10:BK72)</f>
        <v>-10916570.530933687</v>
      </c>
      <c r="BM72" s="30">
        <f t="shared" si="10"/>
        <v>6</v>
      </c>
      <c r="BN72" s="191">
        <f t="shared" si="13"/>
        <v>2754444.5035399999</v>
      </c>
      <c r="BO72" s="192">
        <f t="shared" si="11"/>
        <v>48671796.335929997</v>
      </c>
      <c r="BP72" s="41">
        <f t="shared" si="14"/>
        <v>0</v>
      </c>
      <c r="BQ72" s="41">
        <f t="shared" si="15"/>
        <v>0</v>
      </c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 s="193">
        <f t="shared" si="20"/>
        <v>64</v>
      </c>
      <c r="B73" s="194">
        <f t="shared" si="20"/>
        <v>2082</v>
      </c>
      <c r="C73" s="29">
        <v>6</v>
      </c>
      <c r="D73" s="191">
        <f t="shared" si="16"/>
        <v>2.401E-2</v>
      </c>
      <c r="E73" s="29">
        <v>0</v>
      </c>
      <c r="F73" s="191">
        <f t="shared" si="18"/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191">
        <f t="shared" si="1"/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191">
        <f t="shared" si="2"/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191">
        <f t="shared" si="3"/>
        <v>0</v>
      </c>
      <c r="AD73" s="29">
        <v>0</v>
      </c>
      <c r="AE73" s="29">
        <v>0</v>
      </c>
      <c r="AF73" s="29">
        <v>0</v>
      </c>
      <c r="AG73" s="29">
        <v>0</v>
      </c>
      <c r="AH73" s="191">
        <f t="shared" si="4"/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29">
        <v>0</v>
      </c>
      <c r="AO73" s="29">
        <v>0</v>
      </c>
      <c r="AP73" s="29">
        <v>0</v>
      </c>
      <c r="AQ73" s="29">
        <v>0</v>
      </c>
      <c r="AR73" s="191">
        <f t="shared" si="5"/>
        <v>0</v>
      </c>
      <c r="AS73" s="191">
        <f t="shared" si="6"/>
        <v>0</v>
      </c>
      <c r="AT73" s="29">
        <v>0</v>
      </c>
      <c r="AU73" s="29">
        <v>0</v>
      </c>
      <c r="AV73" s="29">
        <v>0</v>
      </c>
      <c r="AW73" s="29">
        <v>0</v>
      </c>
      <c r="AX73" s="29">
        <v>0</v>
      </c>
      <c r="AY73" s="29">
        <v>0</v>
      </c>
      <c r="AZ73" s="191">
        <f t="shared" si="7"/>
        <v>0</v>
      </c>
      <c r="BA73" s="29">
        <v>0</v>
      </c>
      <c r="BB73" s="29">
        <v>0</v>
      </c>
      <c r="BC73" s="29">
        <v>0</v>
      </c>
      <c r="BD73" s="29">
        <v>0</v>
      </c>
      <c r="BE73" s="29">
        <v>0</v>
      </c>
      <c r="BF73" s="29">
        <v>0</v>
      </c>
      <c r="BG73" s="29">
        <v>0</v>
      </c>
      <c r="BH73" s="29">
        <v>0</v>
      </c>
      <c r="BI73" s="29">
        <v>0</v>
      </c>
      <c r="BJ73" s="191">
        <f t="shared" si="8"/>
        <v>0</v>
      </c>
      <c r="BK73" s="191">
        <f t="shared" si="9"/>
        <v>0</v>
      </c>
      <c r="BL73" s="191">
        <f>$BO$9+SUMPRODUCT($D$10:D73,$BK$10:BK73)</f>
        <v>-10916570.530933687</v>
      </c>
      <c r="BM73" s="30">
        <f t="shared" si="10"/>
        <v>6</v>
      </c>
      <c r="BN73" s="191">
        <f t="shared" si="13"/>
        <v>2920307.7801600001</v>
      </c>
      <c r="BO73" s="192">
        <f t="shared" si="11"/>
        <v>51592104.11609</v>
      </c>
      <c r="BP73" s="41">
        <f t="shared" si="14"/>
        <v>0</v>
      </c>
      <c r="BQ73" s="41">
        <f t="shared" si="15"/>
        <v>0</v>
      </c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A74" s="193">
        <f t="shared" si="20"/>
        <v>65</v>
      </c>
      <c r="B74" s="194">
        <f t="shared" si="20"/>
        <v>2083</v>
      </c>
      <c r="C74" s="29">
        <v>6</v>
      </c>
      <c r="D74" s="191">
        <f t="shared" si="16"/>
        <v>2.265E-2</v>
      </c>
      <c r="E74" s="29">
        <v>0</v>
      </c>
      <c r="F74" s="191">
        <f t="shared" si="18"/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191">
        <f t="shared" ref="M74:M137" si="21">ROUND(SUM(N74:T74),5)</f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191">
        <f t="shared" ref="U74:U137" si="22">ROUND(SUM(V74:AB74),5)</f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191">
        <f t="shared" ref="AC74:AC137" si="23">ROUND(SUM(AD74:AG74),5)</f>
        <v>0</v>
      </c>
      <c r="AD74" s="29">
        <v>0</v>
      </c>
      <c r="AE74" s="29">
        <v>0</v>
      </c>
      <c r="AF74" s="29">
        <v>0</v>
      </c>
      <c r="AG74" s="29">
        <v>0</v>
      </c>
      <c r="AH74" s="191">
        <f t="shared" ref="AH74:AH137" si="24">ROUND(SUM(AI74:AM74),5)</f>
        <v>0</v>
      </c>
      <c r="AI74" s="29">
        <v>0</v>
      </c>
      <c r="AJ74" s="29">
        <v>0</v>
      </c>
      <c r="AK74" s="29">
        <v>0</v>
      </c>
      <c r="AL74" s="29">
        <v>0</v>
      </c>
      <c r="AM74" s="29">
        <v>0</v>
      </c>
      <c r="AN74" s="29">
        <v>0</v>
      </c>
      <c r="AO74" s="29">
        <v>0</v>
      </c>
      <c r="AP74" s="29">
        <v>0</v>
      </c>
      <c r="AQ74" s="29">
        <v>0</v>
      </c>
      <c r="AR74" s="191">
        <f t="shared" ref="AR74:AR137" si="25">ROUND(F74+K74+L74+M74+U74+AC74+AH74+AN74+AO74+AP74+AQ74,5)</f>
        <v>0</v>
      </c>
      <c r="AS74" s="191">
        <f t="shared" ref="AS74:AS137" si="26">ROUND(SUM(AT74:AY74),5)</f>
        <v>0</v>
      </c>
      <c r="AT74" s="29">
        <v>0</v>
      </c>
      <c r="AU74" s="29">
        <v>0</v>
      </c>
      <c r="AV74" s="29">
        <v>0</v>
      </c>
      <c r="AW74" s="29">
        <v>0</v>
      </c>
      <c r="AX74" s="29">
        <v>0</v>
      </c>
      <c r="AY74" s="29">
        <v>0</v>
      </c>
      <c r="AZ74" s="191">
        <f t="shared" ref="AZ74:AZ137" si="27">ROUND(SUM(BA74:BI74),5)</f>
        <v>0</v>
      </c>
      <c r="BA74" s="29">
        <v>0</v>
      </c>
      <c r="BB74" s="29">
        <v>0</v>
      </c>
      <c r="BC74" s="29">
        <v>0</v>
      </c>
      <c r="BD74" s="29">
        <v>0</v>
      </c>
      <c r="BE74" s="29">
        <v>0</v>
      </c>
      <c r="BF74" s="29">
        <v>0</v>
      </c>
      <c r="BG74" s="29">
        <v>0</v>
      </c>
      <c r="BH74" s="29">
        <v>0</v>
      </c>
      <c r="BI74" s="29">
        <v>0</v>
      </c>
      <c r="BJ74" s="191">
        <f t="shared" ref="BJ74:BJ137" si="28">ROUND(AS74+AZ74,5)</f>
        <v>0</v>
      </c>
      <c r="BK74" s="191">
        <f t="shared" ref="BK74:BK137" si="29">ROUND(AR74-BJ74,5)</f>
        <v>0</v>
      </c>
      <c r="BL74" s="191">
        <f>$BO$9+SUMPRODUCT($D$10:D74,$BK$10:BK74)</f>
        <v>-10916570.530933687</v>
      </c>
      <c r="BM74" s="30">
        <f t="shared" ref="BM74:BM137" si="30">ROUND(C74,5)</f>
        <v>6</v>
      </c>
      <c r="BN74" s="191">
        <f t="shared" si="13"/>
        <v>3095526.2469700002</v>
      </c>
      <c r="BO74" s="192">
        <f t="shared" ref="BO74:BO137" si="31">IF(BO73+BK74+BN74&gt;0,ROUND(BO73+BK74+BN74,5),0)</f>
        <v>54687630.363059998</v>
      </c>
      <c r="BP74" s="41">
        <f t="shared" si="14"/>
        <v>0</v>
      </c>
      <c r="BQ74" s="41">
        <f t="shared" si="15"/>
        <v>0</v>
      </c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A75" s="193">
        <f t="shared" ref="A75:B90" si="32">A74+1</f>
        <v>66</v>
      </c>
      <c r="B75" s="194">
        <f t="shared" si="32"/>
        <v>2084</v>
      </c>
      <c r="C75" s="29">
        <v>6</v>
      </c>
      <c r="D75" s="191">
        <f t="shared" si="16"/>
        <v>2.137E-2</v>
      </c>
      <c r="E75" s="29">
        <v>0</v>
      </c>
      <c r="F75" s="191">
        <f t="shared" si="18"/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191">
        <f t="shared" si="21"/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191">
        <f t="shared" si="22"/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191">
        <f t="shared" si="23"/>
        <v>0</v>
      </c>
      <c r="AD75" s="29">
        <v>0</v>
      </c>
      <c r="AE75" s="29">
        <v>0</v>
      </c>
      <c r="AF75" s="29">
        <v>0</v>
      </c>
      <c r="AG75" s="29">
        <v>0</v>
      </c>
      <c r="AH75" s="191">
        <f t="shared" si="24"/>
        <v>0</v>
      </c>
      <c r="AI75" s="29">
        <v>0</v>
      </c>
      <c r="AJ75" s="29">
        <v>0</v>
      </c>
      <c r="AK75" s="29">
        <v>0</v>
      </c>
      <c r="AL75" s="29">
        <v>0</v>
      </c>
      <c r="AM75" s="29">
        <v>0</v>
      </c>
      <c r="AN75" s="29">
        <v>0</v>
      </c>
      <c r="AO75" s="29">
        <v>0</v>
      </c>
      <c r="AP75" s="29">
        <v>0</v>
      </c>
      <c r="AQ75" s="29">
        <v>0</v>
      </c>
      <c r="AR75" s="191">
        <f t="shared" si="25"/>
        <v>0</v>
      </c>
      <c r="AS75" s="191">
        <f t="shared" si="26"/>
        <v>0</v>
      </c>
      <c r="AT75" s="29">
        <v>0</v>
      </c>
      <c r="AU75" s="29">
        <v>0</v>
      </c>
      <c r="AV75" s="29">
        <v>0</v>
      </c>
      <c r="AW75" s="29">
        <v>0</v>
      </c>
      <c r="AX75" s="29">
        <v>0</v>
      </c>
      <c r="AY75" s="29">
        <v>0</v>
      </c>
      <c r="AZ75" s="191">
        <f t="shared" si="27"/>
        <v>0</v>
      </c>
      <c r="BA75" s="29">
        <v>0</v>
      </c>
      <c r="BB75" s="29">
        <v>0</v>
      </c>
      <c r="BC75" s="29">
        <v>0</v>
      </c>
      <c r="BD75" s="29">
        <v>0</v>
      </c>
      <c r="BE75" s="29">
        <v>0</v>
      </c>
      <c r="BF75" s="29">
        <v>0</v>
      </c>
      <c r="BG75" s="29">
        <v>0</v>
      </c>
      <c r="BH75" s="29">
        <v>0</v>
      </c>
      <c r="BI75" s="29">
        <v>0</v>
      </c>
      <c r="BJ75" s="191">
        <f t="shared" si="28"/>
        <v>0</v>
      </c>
      <c r="BK75" s="191">
        <f t="shared" si="29"/>
        <v>0</v>
      </c>
      <c r="BL75" s="191">
        <f>$BO$9+SUMPRODUCT($D$10:D75,$BK$10:BK75)</f>
        <v>-10916570.530933687</v>
      </c>
      <c r="BM75" s="30">
        <f t="shared" si="30"/>
        <v>6</v>
      </c>
      <c r="BN75" s="191">
        <f t="shared" ref="BN75:BN138" si="33">IF($A$10=0,IF(BO74+BK75&lt;0,0,ROUND(BM75/100*(BO74+BK75),5)),ROUND(BM75/100*BO74,5))</f>
        <v>3281257.8217799999</v>
      </c>
      <c r="BO75" s="192">
        <f t="shared" si="31"/>
        <v>57968888.184840001</v>
      </c>
      <c r="BP75" s="41">
        <f t="shared" ref="BP75:BP138" si="34">(1/((1+$C75/100)^($A75-0.5)))*(AS75+AZ75-AY75-BH75-F75-AC75-AH75)</f>
        <v>0</v>
      </c>
      <c r="BQ75" s="41">
        <f t="shared" ref="BQ75:BQ138" si="35">$BP75*($A75-0.5)</f>
        <v>0</v>
      </c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>
      <c r="A76" s="193">
        <f t="shared" si="32"/>
        <v>67</v>
      </c>
      <c r="B76" s="194">
        <f t="shared" si="32"/>
        <v>2085</v>
      </c>
      <c r="C76" s="29">
        <v>6</v>
      </c>
      <c r="D76" s="191">
        <f t="shared" ref="D76:D139" si="36">ROUND((1+C76/100)^-1*D75,5)</f>
        <v>2.0160000000000001E-2</v>
      </c>
      <c r="E76" s="29">
        <v>0</v>
      </c>
      <c r="F76" s="191">
        <f t="shared" si="18"/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191">
        <f t="shared" si="21"/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191">
        <f t="shared" si="22"/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191">
        <f t="shared" si="23"/>
        <v>0</v>
      </c>
      <c r="AD76" s="29">
        <v>0</v>
      </c>
      <c r="AE76" s="29">
        <v>0</v>
      </c>
      <c r="AF76" s="29">
        <v>0</v>
      </c>
      <c r="AG76" s="29">
        <v>0</v>
      </c>
      <c r="AH76" s="191">
        <f t="shared" si="24"/>
        <v>0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29">
        <v>0</v>
      </c>
      <c r="AO76" s="29">
        <v>0</v>
      </c>
      <c r="AP76" s="29">
        <v>0</v>
      </c>
      <c r="AQ76" s="29">
        <v>0</v>
      </c>
      <c r="AR76" s="191">
        <f t="shared" si="25"/>
        <v>0</v>
      </c>
      <c r="AS76" s="191">
        <f t="shared" si="26"/>
        <v>0</v>
      </c>
      <c r="AT76" s="29">
        <v>0</v>
      </c>
      <c r="AU76" s="29">
        <v>0</v>
      </c>
      <c r="AV76" s="29">
        <v>0</v>
      </c>
      <c r="AW76" s="29">
        <v>0</v>
      </c>
      <c r="AX76" s="29">
        <v>0</v>
      </c>
      <c r="AY76" s="29">
        <v>0</v>
      </c>
      <c r="AZ76" s="191">
        <f t="shared" si="27"/>
        <v>0</v>
      </c>
      <c r="BA76" s="29">
        <v>0</v>
      </c>
      <c r="BB76" s="29">
        <v>0</v>
      </c>
      <c r="BC76" s="29">
        <v>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191">
        <f t="shared" si="28"/>
        <v>0</v>
      </c>
      <c r="BK76" s="191">
        <f t="shared" si="29"/>
        <v>0</v>
      </c>
      <c r="BL76" s="191">
        <f>$BO$9+SUMPRODUCT($D$10:D76,$BK$10:BK76)</f>
        <v>-10916570.530933687</v>
      </c>
      <c r="BM76" s="30">
        <f t="shared" si="30"/>
        <v>6</v>
      </c>
      <c r="BN76" s="191">
        <f t="shared" si="33"/>
        <v>3478133.29109</v>
      </c>
      <c r="BO76" s="192">
        <f t="shared" si="31"/>
        <v>61447021.475929998</v>
      </c>
      <c r="BP76" s="41">
        <f t="shared" si="34"/>
        <v>0</v>
      </c>
      <c r="BQ76" s="41">
        <f t="shared" si="35"/>
        <v>0</v>
      </c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>
      <c r="A77" s="193">
        <f t="shared" si="32"/>
        <v>68</v>
      </c>
      <c r="B77" s="194">
        <f t="shared" si="32"/>
        <v>2086</v>
      </c>
      <c r="C77" s="29">
        <v>6</v>
      </c>
      <c r="D77" s="191">
        <f t="shared" si="36"/>
        <v>1.9019999999999999E-2</v>
      </c>
      <c r="E77" s="29">
        <v>0</v>
      </c>
      <c r="F77" s="191">
        <f t="shared" si="18"/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191">
        <f t="shared" si="21"/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191">
        <f t="shared" si="22"/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191">
        <f t="shared" si="23"/>
        <v>0</v>
      </c>
      <c r="AD77" s="29">
        <v>0</v>
      </c>
      <c r="AE77" s="29">
        <v>0</v>
      </c>
      <c r="AF77" s="29">
        <v>0</v>
      </c>
      <c r="AG77" s="29">
        <v>0</v>
      </c>
      <c r="AH77" s="191">
        <f t="shared" si="24"/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191">
        <f t="shared" si="25"/>
        <v>0</v>
      </c>
      <c r="AS77" s="191">
        <f t="shared" si="26"/>
        <v>0</v>
      </c>
      <c r="AT77" s="29">
        <v>0</v>
      </c>
      <c r="AU77" s="29">
        <v>0</v>
      </c>
      <c r="AV77" s="29">
        <v>0</v>
      </c>
      <c r="AW77" s="29">
        <v>0</v>
      </c>
      <c r="AX77" s="29">
        <v>0</v>
      </c>
      <c r="AY77" s="29">
        <v>0</v>
      </c>
      <c r="AZ77" s="191">
        <f t="shared" si="27"/>
        <v>0</v>
      </c>
      <c r="BA77" s="29">
        <v>0</v>
      </c>
      <c r="BB77" s="29">
        <v>0</v>
      </c>
      <c r="BC77" s="29">
        <v>0</v>
      </c>
      <c r="BD77" s="29">
        <v>0</v>
      </c>
      <c r="BE77" s="29">
        <v>0</v>
      </c>
      <c r="BF77" s="29">
        <v>0</v>
      </c>
      <c r="BG77" s="29">
        <v>0</v>
      </c>
      <c r="BH77" s="29">
        <v>0</v>
      </c>
      <c r="BI77" s="29">
        <v>0</v>
      </c>
      <c r="BJ77" s="191">
        <f t="shared" si="28"/>
        <v>0</v>
      </c>
      <c r="BK77" s="191">
        <f t="shared" si="29"/>
        <v>0</v>
      </c>
      <c r="BL77" s="191">
        <f>$BO$9+SUMPRODUCT($D$10:D77,$BK$10:BK77)</f>
        <v>-10916570.530933687</v>
      </c>
      <c r="BM77" s="30">
        <f t="shared" si="30"/>
        <v>6</v>
      </c>
      <c r="BN77" s="191">
        <f t="shared" si="33"/>
        <v>3686821.2885599998</v>
      </c>
      <c r="BO77" s="192">
        <f t="shared" si="31"/>
        <v>65133842.764490001</v>
      </c>
      <c r="BP77" s="41">
        <f t="shared" si="34"/>
        <v>0</v>
      </c>
      <c r="BQ77" s="41">
        <f t="shared" si="35"/>
        <v>0</v>
      </c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>
      <c r="A78" s="193">
        <f t="shared" si="32"/>
        <v>69</v>
      </c>
      <c r="B78" s="194">
        <f t="shared" si="32"/>
        <v>2087</v>
      </c>
      <c r="C78" s="29">
        <v>6</v>
      </c>
      <c r="D78" s="191">
        <f t="shared" si="36"/>
        <v>1.7940000000000001E-2</v>
      </c>
      <c r="E78" s="29">
        <v>0</v>
      </c>
      <c r="F78" s="191">
        <f t="shared" si="18"/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191">
        <f t="shared" si="21"/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191">
        <f t="shared" si="22"/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191">
        <f t="shared" si="23"/>
        <v>0</v>
      </c>
      <c r="AD78" s="29">
        <v>0</v>
      </c>
      <c r="AE78" s="29">
        <v>0</v>
      </c>
      <c r="AF78" s="29">
        <v>0</v>
      </c>
      <c r="AG78" s="29">
        <v>0</v>
      </c>
      <c r="AH78" s="191">
        <f t="shared" si="24"/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191">
        <f t="shared" si="25"/>
        <v>0</v>
      </c>
      <c r="AS78" s="191">
        <f t="shared" si="26"/>
        <v>0</v>
      </c>
      <c r="AT78" s="29">
        <v>0</v>
      </c>
      <c r="AU78" s="29">
        <v>0</v>
      </c>
      <c r="AV78" s="29">
        <v>0</v>
      </c>
      <c r="AW78" s="29">
        <v>0</v>
      </c>
      <c r="AX78" s="29">
        <v>0</v>
      </c>
      <c r="AY78" s="29">
        <v>0</v>
      </c>
      <c r="AZ78" s="191">
        <f t="shared" si="27"/>
        <v>0</v>
      </c>
      <c r="BA78" s="29">
        <v>0</v>
      </c>
      <c r="BB78" s="29">
        <v>0</v>
      </c>
      <c r="BC78" s="29">
        <v>0</v>
      </c>
      <c r="BD78" s="29">
        <v>0</v>
      </c>
      <c r="BE78" s="29">
        <v>0</v>
      </c>
      <c r="BF78" s="29">
        <v>0</v>
      </c>
      <c r="BG78" s="29">
        <v>0</v>
      </c>
      <c r="BH78" s="29">
        <v>0</v>
      </c>
      <c r="BI78" s="29">
        <v>0</v>
      </c>
      <c r="BJ78" s="191">
        <f t="shared" si="28"/>
        <v>0</v>
      </c>
      <c r="BK78" s="191">
        <f t="shared" si="29"/>
        <v>0</v>
      </c>
      <c r="BL78" s="191">
        <f>$BO$9+SUMPRODUCT($D$10:D78,$BK$10:BK78)</f>
        <v>-10916570.530933687</v>
      </c>
      <c r="BM78" s="30">
        <f t="shared" si="30"/>
        <v>6</v>
      </c>
      <c r="BN78" s="191">
        <f t="shared" si="33"/>
        <v>3908030.56587</v>
      </c>
      <c r="BO78" s="192">
        <f t="shared" si="31"/>
        <v>69041873.330359995</v>
      </c>
      <c r="BP78" s="41">
        <f t="shared" si="34"/>
        <v>0</v>
      </c>
      <c r="BQ78" s="41">
        <f t="shared" si="35"/>
        <v>0</v>
      </c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>
      <c r="A79" s="193">
        <f t="shared" si="32"/>
        <v>70</v>
      </c>
      <c r="B79" s="194">
        <f t="shared" si="32"/>
        <v>2088</v>
      </c>
      <c r="C79" s="29">
        <v>6</v>
      </c>
      <c r="D79" s="191">
        <f t="shared" si="36"/>
        <v>1.6920000000000001E-2</v>
      </c>
      <c r="E79" s="29">
        <v>0</v>
      </c>
      <c r="F79" s="191">
        <f t="shared" si="18"/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191">
        <f t="shared" si="21"/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191">
        <f t="shared" si="22"/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191">
        <f t="shared" si="23"/>
        <v>0</v>
      </c>
      <c r="AD79" s="29">
        <v>0</v>
      </c>
      <c r="AE79" s="29">
        <v>0</v>
      </c>
      <c r="AF79" s="29">
        <v>0</v>
      </c>
      <c r="AG79" s="29">
        <v>0</v>
      </c>
      <c r="AH79" s="191">
        <f t="shared" si="24"/>
        <v>0</v>
      </c>
      <c r="AI79" s="29">
        <v>0</v>
      </c>
      <c r="AJ79" s="29">
        <v>0</v>
      </c>
      <c r="AK79" s="29">
        <v>0</v>
      </c>
      <c r="AL79" s="29">
        <v>0</v>
      </c>
      <c r="AM79" s="29">
        <v>0</v>
      </c>
      <c r="AN79" s="29">
        <v>0</v>
      </c>
      <c r="AO79" s="29">
        <v>0</v>
      </c>
      <c r="AP79" s="29">
        <v>0</v>
      </c>
      <c r="AQ79" s="29">
        <v>0</v>
      </c>
      <c r="AR79" s="191">
        <f t="shared" si="25"/>
        <v>0</v>
      </c>
      <c r="AS79" s="191">
        <f t="shared" si="26"/>
        <v>0</v>
      </c>
      <c r="AT79" s="29">
        <v>0</v>
      </c>
      <c r="AU79" s="29">
        <v>0</v>
      </c>
      <c r="AV79" s="29">
        <v>0</v>
      </c>
      <c r="AW79" s="29">
        <v>0</v>
      </c>
      <c r="AX79" s="29">
        <v>0</v>
      </c>
      <c r="AY79" s="29">
        <v>0</v>
      </c>
      <c r="AZ79" s="191">
        <f t="shared" si="27"/>
        <v>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191">
        <f t="shared" si="28"/>
        <v>0</v>
      </c>
      <c r="BK79" s="191">
        <f t="shared" si="29"/>
        <v>0</v>
      </c>
      <c r="BL79" s="191">
        <f>$BO$9+SUMPRODUCT($D$10:D79,$BK$10:BK79)</f>
        <v>-10916570.530933687</v>
      </c>
      <c r="BM79" s="30">
        <f t="shared" si="30"/>
        <v>6</v>
      </c>
      <c r="BN79" s="191">
        <f t="shared" si="33"/>
        <v>4142512.3998199999</v>
      </c>
      <c r="BO79" s="192">
        <f t="shared" si="31"/>
        <v>73184385.730179995</v>
      </c>
      <c r="BP79" s="41">
        <f t="shared" si="34"/>
        <v>0</v>
      </c>
      <c r="BQ79" s="41">
        <f t="shared" si="35"/>
        <v>0</v>
      </c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>
      <c r="A80" s="193">
        <f t="shared" si="32"/>
        <v>71</v>
      </c>
      <c r="B80" s="194">
        <f t="shared" si="32"/>
        <v>2089</v>
      </c>
      <c r="C80" s="29">
        <v>6</v>
      </c>
      <c r="D80" s="191">
        <f t="shared" si="36"/>
        <v>1.5959999999999998E-2</v>
      </c>
      <c r="E80" s="29">
        <v>0</v>
      </c>
      <c r="F80" s="191">
        <f t="shared" si="18"/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191">
        <f t="shared" si="21"/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191">
        <f t="shared" si="22"/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191">
        <f t="shared" si="23"/>
        <v>0</v>
      </c>
      <c r="AD80" s="29">
        <v>0</v>
      </c>
      <c r="AE80" s="29">
        <v>0</v>
      </c>
      <c r="AF80" s="29">
        <v>0</v>
      </c>
      <c r="AG80" s="29">
        <v>0</v>
      </c>
      <c r="AH80" s="191">
        <f t="shared" si="24"/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191">
        <f t="shared" si="25"/>
        <v>0</v>
      </c>
      <c r="AS80" s="191">
        <f t="shared" si="26"/>
        <v>0</v>
      </c>
      <c r="AT80" s="29">
        <v>0</v>
      </c>
      <c r="AU80" s="29">
        <v>0</v>
      </c>
      <c r="AV80" s="29">
        <v>0</v>
      </c>
      <c r="AW80" s="29">
        <v>0</v>
      </c>
      <c r="AX80" s="29">
        <v>0</v>
      </c>
      <c r="AY80" s="29">
        <v>0</v>
      </c>
      <c r="AZ80" s="191">
        <f t="shared" si="27"/>
        <v>0</v>
      </c>
      <c r="BA80" s="29">
        <v>0</v>
      </c>
      <c r="BB80" s="29">
        <v>0</v>
      </c>
      <c r="BC80" s="29">
        <v>0</v>
      </c>
      <c r="BD80" s="29">
        <v>0</v>
      </c>
      <c r="BE80" s="29">
        <v>0</v>
      </c>
      <c r="BF80" s="29">
        <v>0</v>
      </c>
      <c r="BG80" s="29">
        <v>0</v>
      </c>
      <c r="BH80" s="29">
        <v>0</v>
      </c>
      <c r="BI80" s="29">
        <v>0</v>
      </c>
      <c r="BJ80" s="191">
        <f t="shared" si="28"/>
        <v>0</v>
      </c>
      <c r="BK80" s="191">
        <f t="shared" si="29"/>
        <v>0</v>
      </c>
      <c r="BL80" s="191">
        <f>$BO$9+SUMPRODUCT($D$10:D80,$BK$10:BK80)</f>
        <v>-10916570.530933687</v>
      </c>
      <c r="BM80" s="30">
        <f t="shared" si="30"/>
        <v>6</v>
      </c>
      <c r="BN80" s="191">
        <f t="shared" si="33"/>
        <v>4391063.1438100003</v>
      </c>
      <c r="BO80" s="192">
        <f t="shared" si="31"/>
        <v>77575448.873989999</v>
      </c>
      <c r="BP80" s="41">
        <f t="shared" si="34"/>
        <v>0</v>
      </c>
      <c r="BQ80" s="41">
        <f t="shared" si="35"/>
        <v>0</v>
      </c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>
      <c r="A81" s="193">
        <f t="shared" si="32"/>
        <v>72</v>
      </c>
      <c r="B81" s="194">
        <f t="shared" si="32"/>
        <v>2090</v>
      </c>
      <c r="C81" s="29">
        <v>6</v>
      </c>
      <c r="D81" s="191">
        <f t="shared" si="36"/>
        <v>1.506E-2</v>
      </c>
      <c r="E81" s="29">
        <v>0</v>
      </c>
      <c r="F81" s="191">
        <f t="shared" si="18"/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191">
        <f t="shared" si="21"/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191">
        <f t="shared" si="22"/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191">
        <f t="shared" si="23"/>
        <v>0</v>
      </c>
      <c r="AD81" s="29">
        <v>0</v>
      </c>
      <c r="AE81" s="29">
        <v>0</v>
      </c>
      <c r="AF81" s="29">
        <v>0</v>
      </c>
      <c r="AG81" s="29">
        <v>0</v>
      </c>
      <c r="AH81" s="191">
        <f t="shared" si="24"/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191">
        <f t="shared" si="25"/>
        <v>0</v>
      </c>
      <c r="AS81" s="191">
        <f t="shared" si="26"/>
        <v>0</v>
      </c>
      <c r="AT81" s="29">
        <v>0</v>
      </c>
      <c r="AU81" s="29">
        <v>0</v>
      </c>
      <c r="AV81" s="29">
        <v>0</v>
      </c>
      <c r="AW81" s="29">
        <v>0</v>
      </c>
      <c r="AX81" s="29">
        <v>0</v>
      </c>
      <c r="AY81" s="29">
        <v>0</v>
      </c>
      <c r="AZ81" s="191">
        <f t="shared" si="27"/>
        <v>0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191">
        <f t="shared" si="28"/>
        <v>0</v>
      </c>
      <c r="BK81" s="191">
        <f t="shared" si="29"/>
        <v>0</v>
      </c>
      <c r="BL81" s="191">
        <f>$BO$9+SUMPRODUCT($D$10:D81,$BK$10:BK81)</f>
        <v>-10916570.530933687</v>
      </c>
      <c r="BM81" s="30">
        <f t="shared" si="30"/>
        <v>6</v>
      </c>
      <c r="BN81" s="191">
        <f t="shared" si="33"/>
        <v>4654526.9324399997</v>
      </c>
      <c r="BO81" s="192">
        <f t="shared" si="31"/>
        <v>82229975.806429997</v>
      </c>
      <c r="BP81" s="41">
        <f t="shared" si="34"/>
        <v>0</v>
      </c>
      <c r="BQ81" s="41">
        <f t="shared" si="35"/>
        <v>0</v>
      </c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>
      <c r="A82" s="193">
        <f t="shared" si="32"/>
        <v>73</v>
      </c>
      <c r="B82" s="194">
        <f t="shared" si="32"/>
        <v>2091</v>
      </c>
      <c r="C82" s="29">
        <v>6</v>
      </c>
      <c r="D82" s="191">
        <f t="shared" si="36"/>
        <v>1.421E-2</v>
      </c>
      <c r="E82" s="29">
        <v>0</v>
      </c>
      <c r="F82" s="191">
        <f t="shared" si="18"/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191">
        <f t="shared" si="21"/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191">
        <f t="shared" si="22"/>
        <v>0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191">
        <f t="shared" si="23"/>
        <v>0</v>
      </c>
      <c r="AD82" s="29">
        <v>0</v>
      </c>
      <c r="AE82" s="29">
        <v>0</v>
      </c>
      <c r="AF82" s="29">
        <v>0</v>
      </c>
      <c r="AG82" s="29">
        <v>0</v>
      </c>
      <c r="AH82" s="191">
        <f t="shared" si="24"/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191">
        <f t="shared" si="25"/>
        <v>0</v>
      </c>
      <c r="AS82" s="191">
        <f t="shared" si="26"/>
        <v>0</v>
      </c>
      <c r="AT82" s="29">
        <v>0</v>
      </c>
      <c r="AU82" s="29">
        <v>0</v>
      </c>
      <c r="AV82" s="29">
        <v>0</v>
      </c>
      <c r="AW82" s="29">
        <v>0</v>
      </c>
      <c r="AX82" s="29">
        <v>0</v>
      </c>
      <c r="AY82" s="29">
        <v>0</v>
      </c>
      <c r="AZ82" s="191">
        <f t="shared" si="27"/>
        <v>0</v>
      </c>
      <c r="BA82" s="29">
        <v>0</v>
      </c>
      <c r="BB82" s="29">
        <v>0</v>
      </c>
      <c r="BC82" s="29">
        <v>0</v>
      </c>
      <c r="BD82" s="29">
        <v>0</v>
      </c>
      <c r="BE82" s="29">
        <v>0</v>
      </c>
      <c r="BF82" s="29">
        <v>0</v>
      </c>
      <c r="BG82" s="29">
        <v>0</v>
      </c>
      <c r="BH82" s="29">
        <v>0</v>
      </c>
      <c r="BI82" s="29">
        <v>0</v>
      </c>
      <c r="BJ82" s="191">
        <f t="shared" si="28"/>
        <v>0</v>
      </c>
      <c r="BK82" s="191">
        <f t="shared" si="29"/>
        <v>0</v>
      </c>
      <c r="BL82" s="191">
        <f>$BO$9+SUMPRODUCT($D$10:D82,$BK$10:BK82)</f>
        <v>-10916570.530933687</v>
      </c>
      <c r="BM82" s="30">
        <f t="shared" si="30"/>
        <v>6</v>
      </c>
      <c r="BN82" s="191">
        <f t="shared" si="33"/>
        <v>4933798.5483900001</v>
      </c>
      <c r="BO82" s="192">
        <f t="shared" si="31"/>
        <v>87163774.354819998</v>
      </c>
      <c r="BP82" s="41">
        <f t="shared" si="34"/>
        <v>0</v>
      </c>
      <c r="BQ82" s="41">
        <f t="shared" si="35"/>
        <v>0</v>
      </c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>
      <c r="A83" s="193">
        <f t="shared" si="32"/>
        <v>74</v>
      </c>
      <c r="B83" s="194">
        <f t="shared" si="32"/>
        <v>2092</v>
      </c>
      <c r="C83" s="29">
        <v>6</v>
      </c>
      <c r="D83" s="191">
        <f t="shared" si="36"/>
        <v>1.341E-2</v>
      </c>
      <c r="E83" s="29">
        <v>0</v>
      </c>
      <c r="F83" s="191">
        <f t="shared" si="18"/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191">
        <f t="shared" si="21"/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191">
        <f t="shared" si="22"/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191">
        <f t="shared" si="23"/>
        <v>0</v>
      </c>
      <c r="AD83" s="29">
        <v>0</v>
      </c>
      <c r="AE83" s="29">
        <v>0</v>
      </c>
      <c r="AF83" s="29">
        <v>0</v>
      </c>
      <c r="AG83" s="29">
        <v>0</v>
      </c>
      <c r="AH83" s="191">
        <f t="shared" si="24"/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191">
        <f t="shared" si="25"/>
        <v>0</v>
      </c>
      <c r="AS83" s="191">
        <f t="shared" si="26"/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191">
        <f t="shared" si="27"/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191">
        <f t="shared" si="28"/>
        <v>0</v>
      </c>
      <c r="BK83" s="191">
        <f t="shared" si="29"/>
        <v>0</v>
      </c>
      <c r="BL83" s="191">
        <f>$BO$9+SUMPRODUCT($D$10:D83,$BK$10:BK83)</f>
        <v>-10916570.530933687</v>
      </c>
      <c r="BM83" s="30">
        <f t="shared" si="30"/>
        <v>6</v>
      </c>
      <c r="BN83" s="191">
        <f t="shared" si="33"/>
        <v>5229826.46129</v>
      </c>
      <c r="BO83" s="192">
        <f t="shared" si="31"/>
        <v>92393600.81611</v>
      </c>
      <c r="BP83" s="41">
        <f t="shared" si="34"/>
        <v>0</v>
      </c>
      <c r="BQ83" s="41">
        <f t="shared" si="35"/>
        <v>0</v>
      </c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>
      <c r="A84" s="193">
        <f t="shared" si="32"/>
        <v>75</v>
      </c>
      <c r="B84" s="194">
        <f t="shared" si="32"/>
        <v>2093</v>
      </c>
      <c r="C84" s="29">
        <v>6</v>
      </c>
      <c r="D84" s="191">
        <f t="shared" si="36"/>
        <v>1.265E-2</v>
      </c>
      <c r="E84" s="29">
        <v>0</v>
      </c>
      <c r="F84" s="191">
        <f t="shared" si="18"/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191">
        <f t="shared" si="21"/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191">
        <f t="shared" si="22"/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191">
        <f t="shared" si="23"/>
        <v>0</v>
      </c>
      <c r="AD84" s="29">
        <v>0</v>
      </c>
      <c r="AE84" s="29">
        <v>0</v>
      </c>
      <c r="AF84" s="29">
        <v>0</v>
      </c>
      <c r="AG84" s="29">
        <v>0</v>
      </c>
      <c r="AH84" s="191">
        <f t="shared" si="24"/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191">
        <f t="shared" si="25"/>
        <v>0</v>
      </c>
      <c r="AS84" s="191">
        <f t="shared" si="26"/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191">
        <f t="shared" si="27"/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191">
        <f t="shared" si="28"/>
        <v>0</v>
      </c>
      <c r="BK84" s="191">
        <f t="shared" si="29"/>
        <v>0</v>
      </c>
      <c r="BL84" s="191">
        <f>$BO$9+SUMPRODUCT($D$10:D84,$BK$10:BK84)</f>
        <v>-10916570.530933687</v>
      </c>
      <c r="BM84" s="30">
        <f t="shared" si="30"/>
        <v>6</v>
      </c>
      <c r="BN84" s="191">
        <f t="shared" si="33"/>
        <v>5543616.0489699999</v>
      </c>
      <c r="BO84" s="192">
        <f t="shared" si="31"/>
        <v>97937216.865079999</v>
      </c>
      <c r="BP84" s="41">
        <f t="shared" si="34"/>
        <v>0</v>
      </c>
      <c r="BQ84" s="41">
        <f t="shared" si="35"/>
        <v>0</v>
      </c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>
      <c r="A85" s="193">
        <f t="shared" si="32"/>
        <v>76</v>
      </c>
      <c r="B85" s="194">
        <f t="shared" si="32"/>
        <v>2094</v>
      </c>
      <c r="C85" s="29">
        <v>6</v>
      </c>
      <c r="D85" s="191">
        <f t="shared" si="36"/>
        <v>1.193E-2</v>
      </c>
      <c r="E85" s="29">
        <v>0</v>
      </c>
      <c r="F85" s="191">
        <f t="shared" si="18"/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191">
        <f t="shared" si="21"/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191">
        <f t="shared" si="22"/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191">
        <f t="shared" si="23"/>
        <v>0</v>
      </c>
      <c r="AD85" s="29">
        <v>0</v>
      </c>
      <c r="AE85" s="29">
        <v>0</v>
      </c>
      <c r="AF85" s="29">
        <v>0</v>
      </c>
      <c r="AG85" s="29">
        <v>0</v>
      </c>
      <c r="AH85" s="191">
        <f t="shared" si="24"/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191">
        <f t="shared" si="25"/>
        <v>0</v>
      </c>
      <c r="AS85" s="191">
        <f t="shared" si="26"/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191">
        <f t="shared" si="27"/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191">
        <f t="shared" si="28"/>
        <v>0</v>
      </c>
      <c r="BK85" s="191">
        <f t="shared" si="29"/>
        <v>0</v>
      </c>
      <c r="BL85" s="191">
        <f>$BO$9+SUMPRODUCT($D$10:D85,$BK$10:BK85)</f>
        <v>-10916570.530933687</v>
      </c>
      <c r="BM85" s="30">
        <f t="shared" si="30"/>
        <v>6</v>
      </c>
      <c r="BN85" s="191">
        <f t="shared" si="33"/>
        <v>5876233.0119000003</v>
      </c>
      <c r="BO85" s="192">
        <f t="shared" si="31"/>
        <v>103813449.87698001</v>
      </c>
      <c r="BP85" s="41">
        <f t="shared" si="34"/>
        <v>0</v>
      </c>
      <c r="BQ85" s="41">
        <f t="shared" si="35"/>
        <v>0</v>
      </c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>
      <c r="A86" s="193">
        <f t="shared" si="32"/>
        <v>77</v>
      </c>
      <c r="B86" s="194">
        <f t="shared" si="32"/>
        <v>2095</v>
      </c>
      <c r="C86" s="29">
        <v>6</v>
      </c>
      <c r="D86" s="191">
        <f t="shared" si="36"/>
        <v>1.125E-2</v>
      </c>
      <c r="E86" s="29">
        <v>0</v>
      </c>
      <c r="F86" s="191">
        <f t="shared" si="18"/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191">
        <f t="shared" si="21"/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191">
        <f t="shared" si="22"/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191">
        <f t="shared" si="23"/>
        <v>0</v>
      </c>
      <c r="AD86" s="29">
        <v>0</v>
      </c>
      <c r="AE86" s="29">
        <v>0</v>
      </c>
      <c r="AF86" s="29">
        <v>0</v>
      </c>
      <c r="AG86" s="29">
        <v>0</v>
      </c>
      <c r="AH86" s="191">
        <f t="shared" si="24"/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191">
        <f t="shared" si="25"/>
        <v>0</v>
      </c>
      <c r="AS86" s="191">
        <f t="shared" si="26"/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191">
        <f t="shared" si="27"/>
        <v>0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191">
        <f t="shared" si="28"/>
        <v>0</v>
      </c>
      <c r="BK86" s="191">
        <f t="shared" si="29"/>
        <v>0</v>
      </c>
      <c r="BL86" s="191">
        <f>$BO$9+SUMPRODUCT($D$10:D86,$BK$10:BK86)</f>
        <v>-10916570.530933687</v>
      </c>
      <c r="BM86" s="30">
        <f t="shared" si="30"/>
        <v>6</v>
      </c>
      <c r="BN86" s="191">
        <f t="shared" si="33"/>
        <v>6228806.9926199997</v>
      </c>
      <c r="BO86" s="192">
        <f t="shared" si="31"/>
        <v>110042256.8696</v>
      </c>
      <c r="BP86" s="41">
        <f t="shared" si="34"/>
        <v>0</v>
      </c>
      <c r="BQ86" s="41">
        <f t="shared" si="35"/>
        <v>0</v>
      </c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>
      <c r="A87" s="193">
        <f t="shared" si="32"/>
        <v>78</v>
      </c>
      <c r="B87" s="194">
        <f t="shared" si="32"/>
        <v>2096</v>
      </c>
      <c r="C87" s="29">
        <v>6</v>
      </c>
      <c r="D87" s="191">
        <f t="shared" si="36"/>
        <v>1.061E-2</v>
      </c>
      <c r="E87" s="29">
        <v>0</v>
      </c>
      <c r="F87" s="191">
        <f t="shared" si="18"/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191">
        <f t="shared" si="21"/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191">
        <f t="shared" si="22"/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191">
        <f t="shared" si="23"/>
        <v>0</v>
      </c>
      <c r="AD87" s="29">
        <v>0</v>
      </c>
      <c r="AE87" s="29">
        <v>0</v>
      </c>
      <c r="AF87" s="29">
        <v>0</v>
      </c>
      <c r="AG87" s="29">
        <v>0</v>
      </c>
      <c r="AH87" s="191">
        <f t="shared" si="24"/>
        <v>0</v>
      </c>
      <c r="AI87" s="29">
        <v>0</v>
      </c>
      <c r="AJ87" s="29">
        <v>0</v>
      </c>
      <c r="AK87" s="29">
        <v>0</v>
      </c>
      <c r="AL87" s="29">
        <v>0</v>
      </c>
      <c r="AM87" s="29">
        <v>0</v>
      </c>
      <c r="AN87" s="29">
        <v>0</v>
      </c>
      <c r="AO87" s="29">
        <v>0</v>
      </c>
      <c r="AP87" s="29">
        <v>0</v>
      </c>
      <c r="AQ87" s="29">
        <v>0</v>
      </c>
      <c r="AR87" s="191">
        <f t="shared" si="25"/>
        <v>0</v>
      </c>
      <c r="AS87" s="191">
        <f t="shared" si="26"/>
        <v>0</v>
      </c>
      <c r="AT87" s="29">
        <v>0</v>
      </c>
      <c r="AU87" s="29">
        <v>0</v>
      </c>
      <c r="AV87" s="29">
        <v>0</v>
      </c>
      <c r="AW87" s="29">
        <v>0</v>
      </c>
      <c r="AX87" s="29">
        <v>0</v>
      </c>
      <c r="AY87" s="29">
        <v>0</v>
      </c>
      <c r="AZ87" s="191">
        <f t="shared" si="27"/>
        <v>0</v>
      </c>
      <c r="BA87" s="29">
        <v>0</v>
      </c>
      <c r="BB87" s="29">
        <v>0</v>
      </c>
      <c r="BC87" s="29">
        <v>0</v>
      </c>
      <c r="BD87" s="29">
        <v>0</v>
      </c>
      <c r="BE87" s="29">
        <v>0</v>
      </c>
      <c r="BF87" s="29">
        <v>0</v>
      </c>
      <c r="BG87" s="29">
        <v>0</v>
      </c>
      <c r="BH87" s="29">
        <v>0</v>
      </c>
      <c r="BI87" s="29">
        <v>0</v>
      </c>
      <c r="BJ87" s="191">
        <f t="shared" si="28"/>
        <v>0</v>
      </c>
      <c r="BK87" s="191">
        <f t="shared" si="29"/>
        <v>0</v>
      </c>
      <c r="BL87" s="191">
        <f>$BO$9+SUMPRODUCT($D$10:D87,$BK$10:BK87)</f>
        <v>-10916570.530933687</v>
      </c>
      <c r="BM87" s="30">
        <f t="shared" si="30"/>
        <v>6</v>
      </c>
      <c r="BN87" s="191">
        <f t="shared" si="33"/>
        <v>6602535.41218</v>
      </c>
      <c r="BO87" s="192">
        <f t="shared" si="31"/>
        <v>116644792.28178</v>
      </c>
      <c r="BP87" s="41">
        <f t="shared" si="34"/>
        <v>0</v>
      </c>
      <c r="BQ87" s="41">
        <f t="shared" si="35"/>
        <v>0</v>
      </c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>
      <c r="A88" s="193">
        <f t="shared" si="32"/>
        <v>79</v>
      </c>
      <c r="B88" s="194">
        <f t="shared" si="32"/>
        <v>2097</v>
      </c>
      <c r="C88" s="29">
        <v>6</v>
      </c>
      <c r="D88" s="191">
        <f t="shared" si="36"/>
        <v>1.001E-2</v>
      </c>
      <c r="E88" s="29">
        <v>0</v>
      </c>
      <c r="F88" s="191">
        <f t="shared" si="18"/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191">
        <f t="shared" si="21"/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191">
        <f t="shared" si="22"/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191">
        <f t="shared" si="23"/>
        <v>0</v>
      </c>
      <c r="AD88" s="29">
        <v>0</v>
      </c>
      <c r="AE88" s="29">
        <v>0</v>
      </c>
      <c r="AF88" s="29">
        <v>0</v>
      </c>
      <c r="AG88" s="29">
        <v>0</v>
      </c>
      <c r="AH88" s="191">
        <f t="shared" si="24"/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191">
        <f t="shared" si="25"/>
        <v>0</v>
      </c>
      <c r="AS88" s="191">
        <f t="shared" si="26"/>
        <v>0</v>
      </c>
      <c r="AT88" s="29">
        <v>0</v>
      </c>
      <c r="AU88" s="29">
        <v>0</v>
      </c>
      <c r="AV88" s="29">
        <v>0</v>
      </c>
      <c r="AW88" s="29">
        <v>0</v>
      </c>
      <c r="AX88" s="29">
        <v>0</v>
      </c>
      <c r="AY88" s="29">
        <v>0</v>
      </c>
      <c r="AZ88" s="191">
        <f t="shared" si="27"/>
        <v>0</v>
      </c>
      <c r="BA88" s="29">
        <v>0</v>
      </c>
      <c r="BB88" s="29">
        <v>0</v>
      </c>
      <c r="BC88" s="29">
        <v>0</v>
      </c>
      <c r="BD88" s="29">
        <v>0</v>
      </c>
      <c r="BE88" s="29">
        <v>0</v>
      </c>
      <c r="BF88" s="29">
        <v>0</v>
      </c>
      <c r="BG88" s="29">
        <v>0</v>
      </c>
      <c r="BH88" s="29">
        <v>0</v>
      </c>
      <c r="BI88" s="29">
        <v>0</v>
      </c>
      <c r="BJ88" s="191">
        <f t="shared" si="28"/>
        <v>0</v>
      </c>
      <c r="BK88" s="191">
        <f t="shared" si="29"/>
        <v>0</v>
      </c>
      <c r="BL88" s="191">
        <f>$BO$9+SUMPRODUCT($D$10:D88,$BK$10:BK88)</f>
        <v>-10916570.530933687</v>
      </c>
      <c r="BM88" s="30">
        <f t="shared" si="30"/>
        <v>6</v>
      </c>
      <c r="BN88" s="191">
        <f t="shared" si="33"/>
        <v>6998687.5369100003</v>
      </c>
      <c r="BO88" s="192">
        <f t="shared" si="31"/>
        <v>123643479.81869</v>
      </c>
      <c r="BP88" s="41">
        <f t="shared" si="34"/>
        <v>0</v>
      </c>
      <c r="BQ88" s="41">
        <f t="shared" si="35"/>
        <v>0</v>
      </c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>
      <c r="A89" s="193">
        <f t="shared" si="32"/>
        <v>80</v>
      </c>
      <c r="B89" s="194">
        <f t="shared" si="32"/>
        <v>2098</v>
      </c>
      <c r="C89" s="29">
        <v>6</v>
      </c>
      <c r="D89" s="191">
        <f t="shared" si="36"/>
        <v>9.4400000000000005E-3</v>
      </c>
      <c r="E89" s="29">
        <v>0</v>
      </c>
      <c r="F89" s="191">
        <f t="shared" si="18"/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191">
        <f t="shared" si="21"/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191">
        <f t="shared" si="22"/>
        <v>0</v>
      </c>
      <c r="V89" s="29">
        <v>0</v>
      </c>
      <c r="W89" s="29">
        <v>0</v>
      </c>
      <c r="X89" s="29">
        <v>0</v>
      </c>
      <c r="Y89" s="29">
        <v>0</v>
      </c>
      <c r="Z89" s="29">
        <v>0</v>
      </c>
      <c r="AA89" s="29">
        <v>0</v>
      </c>
      <c r="AB89" s="29">
        <v>0</v>
      </c>
      <c r="AC89" s="191">
        <f t="shared" si="23"/>
        <v>0</v>
      </c>
      <c r="AD89" s="29">
        <v>0</v>
      </c>
      <c r="AE89" s="29">
        <v>0</v>
      </c>
      <c r="AF89" s="29">
        <v>0</v>
      </c>
      <c r="AG89" s="29">
        <v>0</v>
      </c>
      <c r="AH89" s="191">
        <f t="shared" si="24"/>
        <v>0</v>
      </c>
      <c r="AI89" s="29">
        <v>0</v>
      </c>
      <c r="AJ89" s="29">
        <v>0</v>
      </c>
      <c r="AK89" s="29">
        <v>0</v>
      </c>
      <c r="AL89" s="29">
        <v>0</v>
      </c>
      <c r="AM89" s="29">
        <v>0</v>
      </c>
      <c r="AN89" s="29">
        <v>0</v>
      </c>
      <c r="AO89" s="29">
        <v>0</v>
      </c>
      <c r="AP89" s="29">
        <v>0</v>
      </c>
      <c r="AQ89" s="29">
        <v>0</v>
      </c>
      <c r="AR89" s="191">
        <f t="shared" si="25"/>
        <v>0</v>
      </c>
      <c r="AS89" s="191">
        <f t="shared" si="26"/>
        <v>0</v>
      </c>
      <c r="AT89" s="29">
        <v>0</v>
      </c>
      <c r="AU89" s="29">
        <v>0</v>
      </c>
      <c r="AV89" s="29">
        <v>0</v>
      </c>
      <c r="AW89" s="29">
        <v>0</v>
      </c>
      <c r="AX89" s="29">
        <v>0</v>
      </c>
      <c r="AY89" s="29">
        <v>0</v>
      </c>
      <c r="AZ89" s="191">
        <f t="shared" si="27"/>
        <v>0</v>
      </c>
      <c r="BA89" s="29">
        <v>0</v>
      </c>
      <c r="BB89" s="29">
        <v>0</v>
      </c>
      <c r="BC89" s="29">
        <v>0</v>
      </c>
      <c r="BD89" s="29">
        <v>0</v>
      </c>
      <c r="BE89" s="29">
        <v>0</v>
      </c>
      <c r="BF89" s="29">
        <v>0</v>
      </c>
      <c r="BG89" s="29">
        <v>0</v>
      </c>
      <c r="BH89" s="29">
        <v>0</v>
      </c>
      <c r="BI89" s="29">
        <v>0</v>
      </c>
      <c r="BJ89" s="191">
        <f t="shared" si="28"/>
        <v>0</v>
      </c>
      <c r="BK89" s="191">
        <f t="shared" si="29"/>
        <v>0</v>
      </c>
      <c r="BL89" s="191">
        <f>$BO$9+SUMPRODUCT($D$10:D89,$BK$10:BK89)</f>
        <v>-10916570.530933687</v>
      </c>
      <c r="BM89" s="30">
        <f t="shared" si="30"/>
        <v>6</v>
      </c>
      <c r="BN89" s="191">
        <f t="shared" si="33"/>
        <v>7418608.7891199999</v>
      </c>
      <c r="BO89" s="192">
        <f t="shared" si="31"/>
        <v>131062088.60781001</v>
      </c>
      <c r="BP89" s="41">
        <f t="shared" si="34"/>
        <v>0</v>
      </c>
      <c r="BQ89" s="41">
        <f t="shared" si="35"/>
        <v>0</v>
      </c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>
      <c r="A90" s="193">
        <f t="shared" si="32"/>
        <v>81</v>
      </c>
      <c r="B90" s="194">
        <f t="shared" si="32"/>
        <v>2099</v>
      </c>
      <c r="C90" s="29">
        <v>6</v>
      </c>
      <c r="D90" s="191">
        <f t="shared" si="36"/>
        <v>8.9099999999999995E-3</v>
      </c>
      <c r="E90" s="29">
        <v>0</v>
      </c>
      <c r="F90" s="191">
        <f t="shared" si="18"/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191">
        <f t="shared" si="21"/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191">
        <f t="shared" si="22"/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191">
        <f t="shared" si="23"/>
        <v>0</v>
      </c>
      <c r="AD90" s="29">
        <v>0</v>
      </c>
      <c r="AE90" s="29">
        <v>0</v>
      </c>
      <c r="AF90" s="29">
        <v>0</v>
      </c>
      <c r="AG90" s="29">
        <v>0</v>
      </c>
      <c r="AH90" s="191">
        <f t="shared" si="24"/>
        <v>0</v>
      </c>
      <c r="AI90" s="29">
        <v>0</v>
      </c>
      <c r="AJ90" s="29">
        <v>0</v>
      </c>
      <c r="AK90" s="29">
        <v>0</v>
      </c>
      <c r="AL90" s="29">
        <v>0</v>
      </c>
      <c r="AM90" s="29">
        <v>0</v>
      </c>
      <c r="AN90" s="29">
        <v>0</v>
      </c>
      <c r="AO90" s="29">
        <v>0</v>
      </c>
      <c r="AP90" s="29">
        <v>0</v>
      </c>
      <c r="AQ90" s="29">
        <v>0</v>
      </c>
      <c r="AR90" s="191">
        <f t="shared" si="25"/>
        <v>0</v>
      </c>
      <c r="AS90" s="191">
        <f t="shared" si="26"/>
        <v>0</v>
      </c>
      <c r="AT90" s="29">
        <v>0</v>
      </c>
      <c r="AU90" s="29">
        <v>0</v>
      </c>
      <c r="AV90" s="29">
        <v>0</v>
      </c>
      <c r="AW90" s="29">
        <v>0</v>
      </c>
      <c r="AX90" s="29">
        <v>0</v>
      </c>
      <c r="AY90" s="29">
        <v>0</v>
      </c>
      <c r="AZ90" s="191">
        <f t="shared" si="27"/>
        <v>0</v>
      </c>
      <c r="BA90" s="29">
        <v>0</v>
      </c>
      <c r="BB90" s="29">
        <v>0</v>
      </c>
      <c r="BC90" s="29">
        <v>0</v>
      </c>
      <c r="BD90" s="29">
        <v>0</v>
      </c>
      <c r="BE90" s="29">
        <v>0</v>
      </c>
      <c r="BF90" s="29">
        <v>0</v>
      </c>
      <c r="BG90" s="29">
        <v>0</v>
      </c>
      <c r="BH90" s="29">
        <v>0</v>
      </c>
      <c r="BI90" s="29">
        <v>0</v>
      </c>
      <c r="BJ90" s="191">
        <f t="shared" si="28"/>
        <v>0</v>
      </c>
      <c r="BK90" s="191">
        <f t="shared" si="29"/>
        <v>0</v>
      </c>
      <c r="BL90" s="191">
        <f>$BO$9+SUMPRODUCT($D$10:D90,$BK$10:BK90)</f>
        <v>-10916570.530933687</v>
      </c>
      <c r="BM90" s="30">
        <f t="shared" si="30"/>
        <v>6</v>
      </c>
      <c r="BN90" s="191">
        <f t="shared" si="33"/>
        <v>7863725.31647</v>
      </c>
      <c r="BO90" s="192">
        <f t="shared" si="31"/>
        <v>138925813.92427999</v>
      </c>
      <c r="BP90" s="41">
        <f t="shared" si="34"/>
        <v>0</v>
      </c>
      <c r="BQ90" s="41">
        <f t="shared" si="35"/>
        <v>0</v>
      </c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>
      <c r="A91" s="193">
        <f t="shared" ref="A91:B106" si="37">A90+1</f>
        <v>82</v>
      </c>
      <c r="B91" s="194">
        <f t="shared" si="37"/>
        <v>2100</v>
      </c>
      <c r="C91" s="29">
        <v>6</v>
      </c>
      <c r="D91" s="191">
        <f t="shared" si="36"/>
        <v>8.4100000000000008E-3</v>
      </c>
      <c r="E91" s="29">
        <v>0</v>
      </c>
      <c r="F91" s="191">
        <f t="shared" si="18"/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191">
        <f t="shared" si="21"/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191">
        <f t="shared" si="22"/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191">
        <f t="shared" si="23"/>
        <v>0</v>
      </c>
      <c r="AD91" s="29">
        <v>0</v>
      </c>
      <c r="AE91" s="29">
        <v>0</v>
      </c>
      <c r="AF91" s="29">
        <v>0</v>
      </c>
      <c r="AG91" s="29">
        <v>0</v>
      </c>
      <c r="AH91" s="191">
        <f t="shared" si="24"/>
        <v>0</v>
      </c>
      <c r="AI91" s="29">
        <v>0</v>
      </c>
      <c r="AJ91" s="29">
        <v>0</v>
      </c>
      <c r="AK91" s="29">
        <v>0</v>
      </c>
      <c r="AL91" s="29">
        <v>0</v>
      </c>
      <c r="AM91" s="29">
        <v>0</v>
      </c>
      <c r="AN91" s="29">
        <v>0</v>
      </c>
      <c r="AO91" s="29">
        <v>0</v>
      </c>
      <c r="AP91" s="29">
        <v>0</v>
      </c>
      <c r="AQ91" s="29">
        <v>0</v>
      </c>
      <c r="AR91" s="191">
        <f t="shared" si="25"/>
        <v>0</v>
      </c>
      <c r="AS91" s="191">
        <f t="shared" si="26"/>
        <v>0</v>
      </c>
      <c r="AT91" s="29">
        <v>0</v>
      </c>
      <c r="AU91" s="29">
        <v>0</v>
      </c>
      <c r="AV91" s="29">
        <v>0</v>
      </c>
      <c r="AW91" s="29">
        <v>0</v>
      </c>
      <c r="AX91" s="29">
        <v>0</v>
      </c>
      <c r="AY91" s="29">
        <v>0</v>
      </c>
      <c r="AZ91" s="191">
        <f t="shared" si="27"/>
        <v>0</v>
      </c>
      <c r="BA91" s="29">
        <v>0</v>
      </c>
      <c r="BB91" s="29">
        <v>0</v>
      </c>
      <c r="BC91" s="29">
        <v>0</v>
      </c>
      <c r="BD91" s="29">
        <v>0</v>
      </c>
      <c r="BE91" s="29">
        <v>0</v>
      </c>
      <c r="BF91" s="29">
        <v>0</v>
      </c>
      <c r="BG91" s="29">
        <v>0</v>
      </c>
      <c r="BH91" s="29">
        <v>0</v>
      </c>
      <c r="BI91" s="29">
        <v>0</v>
      </c>
      <c r="BJ91" s="191">
        <f t="shared" si="28"/>
        <v>0</v>
      </c>
      <c r="BK91" s="191">
        <f t="shared" si="29"/>
        <v>0</v>
      </c>
      <c r="BL91" s="191">
        <f>$BO$9+SUMPRODUCT($D$10:D91,$BK$10:BK91)</f>
        <v>-10916570.530933687</v>
      </c>
      <c r="BM91" s="30">
        <f t="shared" si="30"/>
        <v>6</v>
      </c>
      <c r="BN91" s="191">
        <f t="shared" si="33"/>
        <v>8335548.8354599997</v>
      </c>
      <c r="BO91" s="192">
        <f t="shared" si="31"/>
        <v>147261362.75974</v>
      </c>
      <c r="BP91" s="41">
        <f t="shared" si="34"/>
        <v>0</v>
      </c>
      <c r="BQ91" s="41">
        <f t="shared" si="35"/>
        <v>0</v>
      </c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>
      <c r="A92" s="193">
        <f t="shared" si="37"/>
        <v>83</v>
      </c>
      <c r="B92" s="194">
        <f t="shared" si="37"/>
        <v>2101</v>
      </c>
      <c r="C92" s="29">
        <v>6</v>
      </c>
      <c r="D92" s="191">
        <f t="shared" si="36"/>
        <v>7.9299999999999995E-3</v>
      </c>
      <c r="E92" s="29">
        <v>0</v>
      </c>
      <c r="F92" s="191">
        <f t="shared" si="18"/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191">
        <f t="shared" si="21"/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191">
        <f t="shared" si="22"/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191">
        <f t="shared" si="23"/>
        <v>0</v>
      </c>
      <c r="AD92" s="29">
        <v>0</v>
      </c>
      <c r="AE92" s="29">
        <v>0</v>
      </c>
      <c r="AF92" s="29">
        <v>0</v>
      </c>
      <c r="AG92" s="29">
        <v>0</v>
      </c>
      <c r="AH92" s="191">
        <f t="shared" si="24"/>
        <v>0</v>
      </c>
      <c r="AI92" s="29">
        <v>0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0</v>
      </c>
      <c r="AP92" s="29">
        <v>0</v>
      </c>
      <c r="AQ92" s="29">
        <v>0</v>
      </c>
      <c r="AR92" s="191">
        <f t="shared" si="25"/>
        <v>0</v>
      </c>
      <c r="AS92" s="191">
        <f t="shared" si="26"/>
        <v>0</v>
      </c>
      <c r="AT92" s="29">
        <v>0</v>
      </c>
      <c r="AU92" s="29">
        <v>0</v>
      </c>
      <c r="AV92" s="29">
        <v>0</v>
      </c>
      <c r="AW92" s="29">
        <v>0</v>
      </c>
      <c r="AX92" s="29">
        <v>0</v>
      </c>
      <c r="AY92" s="29">
        <v>0</v>
      </c>
      <c r="AZ92" s="191">
        <f t="shared" si="27"/>
        <v>0</v>
      </c>
      <c r="BA92" s="29">
        <v>0</v>
      </c>
      <c r="BB92" s="29">
        <v>0</v>
      </c>
      <c r="BC92" s="29">
        <v>0</v>
      </c>
      <c r="BD92" s="29">
        <v>0</v>
      </c>
      <c r="BE92" s="29">
        <v>0</v>
      </c>
      <c r="BF92" s="29">
        <v>0</v>
      </c>
      <c r="BG92" s="29">
        <v>0</v>
      </c>
      <c r="BH92" s="29">
        <v>0</v>
      </c>
      <c r="BI92" s="29">
        <v>0</v>
      </c>
      <c r="BJ92" s="191">
        <f t="shared" si="28"/>
        <v>0</v>
      </c>
      <c r="BK92" s="191">
        <f t="shared" si="29"/>
        <v>0</v>
      </c>
      <c r="BL92" s="191">
        <f>$BO$9+SUMPRODUCT($D$10:D92,$BK$10:BK92)</f>
        <v>-10916570.530933687</v>
      </c>
      <c r="BM92" s="30">
        <f t="shared" si="30"/>
        <v>6</v>
      </c>
      <c r="BN92" s="191">
        <f t="shared" si="33"/>
        <v>8835681.7655800004</v>
      </c>
      <c r="BO92" s="192">
        <f t="shared" si="31"/>
        <v>156097044.52531999</v>
      </c>
      <c r="BP92" s="41">
        <f t="shared" si="34"/>
        <v>0</v>
      </c>
      <c r="BQ92" s="41">
        <f t="shared" si="35"/>
        <v>0</v>
      </c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>
      <c r="A93" s="193">
        <f t="shared" si="37"/>
        <v>84</v>
      </c>
      <c r="B93" s="194">
        <f t="shared" si="37"/>
        <v>2102</v>
      </c>
      <c r="C93" s="29">
        <v>6</v>
      </c>
      <c r="D93" s="191">
        <f t="shared" si="36"/>
        <v>7.4799999999999997E-3</v>
      </c>
      <c r="E93" s="29">
        <v>0</v>
      </c>
      <c r="F93" s="191">
        <f t="shared" si="18"/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191">
        <f t="shared" si="21"/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191">
        <f t="shared" si="22"/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191">
        <f t="shared" si="23"/>
        <v>0</v>
      </c>
      <c r="AD93" s="29">
        <v>0</v>
      </c>
      <c r="AE93" s="29">
        <v>0</v>
      </c>
      <c r="AF93" s="29">
        <v>0</v>
      </c>
      <c r="AG93" s="29">
        <v>0</v>
      </c>
      <c r="AH93" s="191">
        <f t="shared" si="24"/>
        <v>0</v>
      </c>
      <c r="AI93" s="29">
        <v>0</v>
      </c>
      <c r="AJ93" s="29">
        <v>0</v>
      </c>
      <c r="AK93" s="29">
        <v>0</v>
      </c>
      <c r="AL93" s="29">
        <v>0</v>
      </c>
      <c r="AM93" s="29">
        <v>0</v>
      </c>
      <c r="AN93" s="29">
        <v>0</v>
      </c>
      <c r="AO93" s="29">
        <v>0</v>
      </c>
      <c r="AP93" s="29">
        <v>0</v>
      </c>
      <c r="AQ93" s="29">
        <v>0</v>
      </c>
      <c r="AR93" s="191">
        <f t="shared" si="25"/>
        <v>0</v>
      </c>
      <c r="AS93" s="191">
        <f t="shared" si="26"/>
        <v>0</v>
      </c>
      <c r="AT93" s="29">
        <v>0</v>
      </c>
      <c r="AU93" s="29">
        <v>0</v>
      </c>
      <c r="AV93" s="29">
        <v>0</v>
      </c>
      <c r="AW93" s="29">
        <v>0</v>
      </c>
      <c r="AX93" s="29">
        <v>0</v>
      </c>
      <c r="AY93" s="29">
        <v>0</v>
      </c>
      <c r="AZ93" s="191">
        <f t="shared" si="27"/>
        <v>0</v>
      </c>
      <c r="BA93" s="29">
        <v>0</v>
      </c>
      <c r="BB93" s="29">
        <v>0</v>
      </c>
      <c r="BC93" s="29">
        <v>0</v>
      </c>
      <c r="BD93" s="29">
        <v>0</v>
      </c>
      <c r="BE93" s="29">
        <v>0</v>
      </c>
      <c r="BF93" s="29">
        <v>0</v>
      </c>
      <c r="BG93" s="29">
        <v>0</v>
      </c>
      <c r="BH93" s="29">
        <v>0</v>
      </c>
      <c r="BI93" s="29">
        <v>0</v>
      </c>
      <c r="BJ93" s="191">
        <f t="shared" si="28"/>
        <v>0</v>
      </c>
      <c r="BK93" s="191">
        <f t="shared" si="29"/>
        <v>0</v>
      </c>
      <c r="BL93" s="191">
        <f>$BO$9+SUMPRODUCT($D$10:D93,$BK$10:BK93)</f>
        <v>-10916570.530933687</v>
      </c>
      <c r="BM93" s="30">
        <f t="shared" si="30"/>
        <v>6</v>
      </c>
      <c r="BN93" s="191">
        <f t="shared" si="33"/>
        <v>9365822.6715200003</v>
      </c>
      <c r="BO93" s="192">
        <f t="shared" si="31"/>
        <v>165462867.19683999</v>
      </c>
      <c r="BP93" s="41">
        <f t="shared" si="34"/>
        <v>0</v>
      </c>
      <c r="BQ93" s="41">
        <f t="shared" si="35"/>
        <v>0</v>
      </c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>
      <c r="A94" s="193">
        <f t="shared" si="37"/>
        <v>85</v>
      </c>
      <c r="B94" s="194">
        <f t="shared" si="37"/>
        <v>2103</v>
      </c>
      <c r="C94" s="29">
        <v>6</v>
      </c>
      <c r="D94" s="191">
        <f t="shared" si="36"/>
        <v>7.0600000000000003E-3</v>
      </c>
      <c r="E94" s="29">
        <v>0</v>
      </c>
      <c r="F94" s="191">
        <f t="shared" si="18"/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191">
        <f t="shared" si="21"/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191">
        <f t="shared" si="22"/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191">
        <f t="shared" si="23"/>
        <v>0</v>
      </c>
      <c r="AD94" s="29">
        <v>0</v>
      </c>
      <c r="AE94" s="29">
        <v>0</v>
      </c>
      <c r="AF94" s="29">
        <v>0</v>
      </c>
      <c r="AG94" s="29">
        <v>0</v>
      </c>
      <c r="AH94" s="191">
        <f t="shared" si="24"/>
        <v>0</v>
      </c>
      <c r="AI94" s="29">
        <v>0</v>
      </c>
      <c r="AJ94" s="29">
        <v>0</v>
      </c>
      <c r="AK94" s="29">
        <v>0</v>
      </c>
      <c r="AL94" s="29">
        <v>0</v>
      </c>
      <c r="AM94" s="29">
        <v>0</v>
      </c>
      <c r="AN94" s="29">
        <v>0</v>
      </c>
      <c r="AO94" s="29">
        <v>0</v>
      </c>
      <c r="AP94" s="29">
        <v>0</v>
      </c>
      <c r="AQ94" s="29">
        <v>0</v>
      </c>
      <c r="AR94" s="191">
        <f t="shared" si="25"/>
        <v>0</v>
      </c>
      <c r="AS94" s="191">
        <f t="shared" si="26"/>
        <v>0</v>
      </c>
      <c r="AT94" s="29">
        <v>0</v>
      </c>
      <c r="AU94" s="29">
        <v>0</v>
      </c>
      <c r="AV94" s="29">
        <v>0</v>
      </c>
      <c r="AW94" s="29">
        <v>0</v>
      </c>
      <c r="AX94" s="29">
        <v>0</v>
      </c>
      <c r="AY94" s="29">
        <v>0</v>
      </c>
      <c r="AZ94" s="191">
        <f t="shared" si="27"/>
        <v>0</v>
      </c>
      <c r="BA94" s="29">
        <v>0</v>
      </c>
      <c r="BB94" s="29">
        <v>0</v>
      </c>
      <c r="BC94" s="29">
        <v>0</v>
      </c>
      <c r="BD94" s="29">
        <v>0</v>
      </c>
      <c r="BE94" s="29">
        <v>0</v>
      </c>
      <c r="BF94" s="29">
        <v>0</v>
      </c>
      <c r="BG94" s="29">
        <v>0</v>
      </c>
      <c r="BH94" s="29">
        <v>0</v>
      </c>
      <c r="BI94" s="29">
        <v>0</v>
      </c>
      <c r="BJ94" s="191">
        <f t="shared" si="28"/>
        <v>0</v>
      </c>
      <c r="BK94" s="191">
        <f t="shared" si="29"/>
        <v>0</v>
      </c>
      <c r="BL94" s="191">
        <f>$BO$9+SUMPRODUCT($D$10:D94,$BK$10:BK94)</f>
        <v>-10916570.530933687</v>
      </c>
      <c r="BM94" s="30">
        <f t="shared" si="30"/>
        <v>6</v>
      </c>
      <c r="BN94" s="191">
        <f t="shared" si="33"/>
        <v>9927772.0318100005</v>
      </c>
      <c r="BO94" s="192">
        <f t="shared" si="31"/>
        <v>175390639.22865</v>
      </c>
      <c r="BP94" s="41">
        <f t="shared" si="34"/>
        <v>0</v>
      </c>
      <c r="BQ94" s="41">
        <f t="shared" si="35"/>
        <v>0</v>
      </c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>
      <c r="A95" s="193">
        <f t="shared" si="37"/>
        <v>86</v>
      </c>
      <c r="B95" s="194">
        <f t="shared" si="37"/>
        <v>2104</v>
      </c>
      <c r="C95" s="29">
        <v>6</v>
      </c>
      <c r="D95" s="191">
        <f t="shared" si="36"/>
        <v>6.6600000000000001E-3</v>
      </c>
      <c r="E95" s="29">
        <v>0</v>
      </c>
      <c r="F95" s="191">
        <f t="shared" si="18"/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191">
        <f t="shared" si="21"/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191">
        <f t="shared" si="22"/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191">
        <f t="shared" si="23"/>
        <v>0</v>
      </c>
      <c r="AD95" s="29">
        <v>0</v>
      </c>
      <c r="AE95" s="29">
        <v>0</v>
      </c>
      <c r="AF95" s="29">
        <v>0</v>
      </c>
      <c r="AG95" s="29">
        <v>0</v>
      </c>
      <c r="AH95" s="191">
        <f t="shared" si="24"/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191">
        <f t="shared" si="25"/>
        <v>0</v>
      </c>
      <c r="AS95" s="191">
        <f t="shared" si="26"/>
        <v>0</v>
      </c>
      <c r="AT95" s="29">
        <v>0</v>
      </c>
      <c r="AU95" s="29">
        <v>0</v>
      </c>
      <c r="AV95" s="29">
        <v>0</v>
      </c>
      <c r="AW95" s="29">
        <v>0</v>
      </c>
      <c r="AX95" s="29">
        <v>0</v>
      </c>
      <c r="AY95" s="29">
        <v>0</v>
      </c>
      <c r="AZ95" s="191">
        <f t="shared" si="27"/>
        <v>0</v>
      </c>
      <c r="BA95" s="29">
        <v>0</v>
      </c>
      <c r="BB95" s="29">
        <v>0</v>
      </c>
      <c r="BC95" s="29">
        <v>0</v>
      </c>
      <c r="BD95" s="29">
        <v>0</v>
      </c>
      <c r="BE95" s="29">
        <v>0</v>
      </c>
      <c r="BF95" s="29">
        <v>0</v>
      </c>
      <c r="BG95" s="29">
        <v>0</v>
      </c>
      <c r="BH95" s="29">
        <v>0</v>
      </c>
      <c r="BI95" s="29">
        <v>0</v>
      </c>
      <c r="BJ95" s="191">
        <f t="shared" si="28"/>
        <v>0</v>
      </c>
      <c r="BK95" s="191">
        <f t="shared" si="29"/>
        <v>0</v>
      </c>
      <c r="BL95" s="191">
        <f>$BO$9+SUMPRODUCT($D$10:D95,$BK$10:BK95)</f>
        <v>-10916570.530933687</v>
      </c>
      <c r="BM95" s="30">
        <f t="shared" si="30"/>
        <v>6</v>
      </c>
      <c r="BN95" s="191">
        <f t="shared" si="33"/>
        <v>10523438.35372</v>
      </c>
      <c r="BO95" s="192">
        <f t="shared" si="31"/>
        <v>185914077.58237001</v>
      </c>
      <c r="BP95" s="41">
        <f t="shared" si="34"/>
        <v>0</v>
      </c>
      <c r="BQ95" s="41">
        <f t="shared" si="35"/>
        <v>0</v>
      </c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>
      <c r="A96" s="193">
        <f t="shared" si="37"/>
        <v>87</v>
      </c>
      <c r="B96" s="194">
        <f t="shared" si="37"/>
        <v>2105</v>
      </c>
      <c r="C96" s="29">
        <v>6</v>
      </c>
      <c r="D96" s="191">
        <f t="shared" si="36"/>
        <v>6.28E-3</v>
      </c>
      <c r="E96" s="29">
        <v>0</v>
      </c>
      <c r="F96" s="191">
        <f t="shared" si="18"/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191">
        <f t="shared" si="21"/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191">
        <f t="shared" si="22"/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191">
        <f t="shared" si="23"/>
        <v>0</v>
      </c>
      <c r="AD96" s="29">
        <v>0</v>
      </c>
      <c r="AE96" s="29">
        <v>0</v>
      </c>
      <c r="AF96" s="29">
        <v>0</v>
      </c>
      <c r="AG96" s="29">
        <v>0</v>
      </c>
      <c r="AH96" s="191">
        <f t="shared" si="24"/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191">
        <f t="shared" si="25"/>
        <v>0</v>
      </c>
      <c r="AS96" s="191">
        <f t="shared" si="26"/>
        <v>0</v>
      </c>
      <c r="AT96" s="29">
        <v>0</v>
      </c>
      <c r="AU96" s="29">
        <v>0</v>
      </c>
      <c r="AV96" s="29">
        <v>0</v>
      </c>
      <c r="AW96" s="29">
        <v>0</v>
      </c>
      <c r="AX96" s="29">
        <v>0</v>
      </c>
      <c r="AY96" s="29">
        <v>0</v>
      </c>
      <c r="AZ96" s="191">
        <f t="shared" si="27"/>
        <v>0</v>
      </c>
      <c r="BA96" s="29">
        <v>0</v>
      </c>
      <c r="BB96" s="29">
        <v>0</v>
      </c>
      <c r="BC96" s="29">
        <v>0</v>
      </c>
      <c r="BD96" s="29">
        <v>0</v>
      </c>
      <c r="BE96" s="29">
        <v>0</v>
      </c>
      <c r="BF96" s="29">
        <v>0</v>
      </c>
      <c r="BG96" s="29">
        <v>0</v>
      </c>
      <c r="BH96" s="29">
        <v>0</v>
      </c>
      <c r="BI96" s="29">
        <v>0</v>
      </c>
      <c r="BJ96" s="191">
        <f t="shared" si="28"/>
        <v>0</v>
      </c>
      <c r="BK96" s="191">
        <f t="shared" si="29"/>
        <v>0</v>
      </c>
      <c r="BL96" s="191">
        <f>$BO$9+SUMPRODUCT($D$10:D96,$BK$10:BK96)</f>
        <v>-10916570.530933687</v>
      </c>
      <c r="BM96" s="30">
        <f t="shared" si="30"/>
        <v>6</v>
      </c>
      <c r="BN96" s="191">
        <f t="shared" si="33"/>
        <v>11154844.65494</v>
      </c>
      <c r="BO96" s="192">
        <f t="shared" si="31"/>
        <v>197068922.23730999</v>
      </c>
      <c r="BP96" s="41">
        <f t="shared" si="34"/>
        <v>0</v>
      </c>
      <c r="BQ96" s="41">
        <f t="shared" si="35"/>
        <v>0</v>
      </c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>
      <c r="A97" s="193">
        <f t="shared" si="37"/>
        <v>88</v>
      </c>
      <c r="B97" s="194">
        <f t="shared" si="37"/>
        <v>2106</v>
      </c>
      <c r="C97" s="29">
        <v>6</v>
      </c>
      <c r="D97" s="191">
        <f t="shared" si="36"/>
        <v>5.9199999999999999E-3</v>
      </c>
      <c r="E97" s="29">
        <v>0</v>
      </c>
      <c r="F97" s="191">
        <f t="shared" si="18"/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191">
        <f t="shared" si="21"/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191">
        <f t="shared" si="22"/>
        <v>0</v>
      </c>
      <c r="V97" s="29">
        <v>0</v>
      </c>
      <c r="W97" s="29">
        <v>0</v>
      </c>
      <c r="X97" s="29">
        <v>0</v>
      </c>
      <c r="Y97" s="29">
        <v>0</v>
      </c>
      <c r="Z97" s="29">
        <v>0</v>
      </c>
      <c r="AA97" s="29">
        <v>0</v>
      </c>
      <c r="AB97" s="29">
        <v>0</v>
      </c>
      <c r="AC97" s="191">
        <f t="shared" si="23"/>
        <v>0</v>
      </c>
      <c r="AD97" s="29">
        <v>0</v>
      </c>
      <c r="AE97" s="29">
        <v>0</v>
      </c>
      <c r="AF97" s="29">
        <v>0</v>
      </c>
      <c r="AG97" s="29">
        <v>0</v>
      </c>
      <c r="AH97" s="191">
        <f t="shared" si="24"/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191">
        <f t="shared" si="25"/>
        <v>0</v>
      </c>
      <c r="AS97" s="191">
        <f t="shared" si="26"/>
        <v>0</v>
      </c>
      <c r="AT97" s="29">
        <v>0</v>
      </c>
      <c r="AU97" s="29">
        <v>0</v>
      </c>
      <c r="AV97" s="29">
        <v>0</v>
      </c>
      <c r="AW97" s="29">
        <v>0</v>
      </c>
      <c r="AX97" s="29">
        <v>0</v>
      </c>
      <c r="AY97" s="29">
        <v>0</v>
      </c>
      <c r="AZ97" s="191">
        <f t="shared" si="27"/>
        <v>0</v>
      </c>
      <c r="BA97" s="29">
        <v>0</v>
      </c>
      <c r="BB97" s="29">
        <v>0</v>
      </c>
      <c r="BC97" s="29">
        <v>0</v>
      </c>
      <c r="BD97" s="29">
        <v>0</v>
      </c>
      <c r="BE97" s="29">
        <v>0</v>
      </c>
      <c r="BF97" s="29">
        <v>0</v>
      </c>
      <c r="BG97" s="29">
        <v>0</v>
      </c>
      <c r="BH97" s="29">
        <v>0</v>
      </c>
      <c r="BI97" s="29">
        <v>0</v>
      </c>
      <c r="BJ97" s="191">
        <f t="shared" si="28"/>
        <v>0</v>
      </c>
      <c r="BK97" s="191">
        <f t="shared" si="29"/>
        <v>0</v>
      </c>
      <c r="BL97" s="191">
        <f>$BO$9+SUMPRODUCT($D$10:D97,$BK$10:BK97)</f>
        <v>-10916570.530933687</v>
      </c>
      <c r="BM97" s="30">
        <f t="shared" si="30"/>
        <v>6</v>
      </c>
      <c r="BN97" s="191">
        <f t="shared" si="33"/>
        <v>11824135.334240001</v>
      </c>
      <c r="BO97" s="192">
        <f t="shared" si="31"/>
        <v>208893057.57155001</v>
      </c>
      <c r="BP97" s="41">
        <f t="shared" si="34"/>
        <v>0</v>
      </c>
      <c r="BQ97" s="41">
        <f t="shared" si="35"/>
        <v>0</v>
      </c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>
      <c r="A98" s="193">
        <f t="shared" si="37"/>
        <v>89</v>
      </c>
      <c r="B98" s="194">
        <f t="shared" si="37"/>
        <v>2107</v>
      </c>
      <c r="C98" s="29">
        <v>6</v>
      </c>
      <c r="D98" s="191">
        <f t="shared" si="36"/>
        <v>5.5799999999999999E-3</v>
      </c>
      <c r="E98" s="29">
        <v>0</v>
      </c>
      <c r="F98" s="191">
        <f t="shared" si="18"/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191">
        <f t="shared" si="21"/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191">
        <f t="shared" si="22"/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191">
        <f t="shared" si="23"/>
        <v>0</v>
      </c>
      <c r="AD98" s="29">
        <v>0</v>
      </c>
      <c r="AE98" s="29">
        <v>0</v>
      </c>
      <c r="AF98" s="29">
        <v>0</v>
      </c>
      <c r="AG98" s="29">
        <v>0</v>
      </c>
      <c r="AH98" s="191">
        <f t="shared" si="24"/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0</v>
      </c>
      <c r="AN98" s="29">
        <v>0</v>
      </c>
      <c r="AO98" s="29">
        <v>0</v>
      </c>
      <c r="AP98" s="29">
        <v>0</v>
      </c>
      <c r="AQ98" s="29">
        <v>0</v>
      </c>
      <c r="AR98" s="191">
        <f t="shared" si="25"/>
        <v>0</v>
      </c>
      <c r="AS98" s="191">
        <f t="shared" si="26"/>
        <v>0</v>
      </c>
      <c r="AT98" s="29">
        <v>0</v>
      </c>
      <c r="AU98" s="29">
        <v>0</v>
      </c>
      <c r="AV98" s="29">
        <v>0</v>
      </c>
      <c r="AW98" s="29">
        <v>0</v>
      </c>
      <c r="AX98" s="29">
        <v>0</v>
      </c>
      <c r="AY98" s="29">
        <v>0</v>
      </c>
      <c r="AZ98" s="191">
        <f t="shared" si="27"/>
        <v>0</v>
      </c>
      <c r="BA98" s="29">
        <v>0</v>
      </c>
      <c r="BB98" s="29">
        <v>0</v>
      </c>
      <c r="BC98" s="29">
        <v>0</v>
      </c>
      <c r="BD98" s="29">
        <v>0</v>
      </c>
      <c r="BE98" s="29">
        <v>0</v>
      </c>
      <c r="BF98" s="29">
        <v>0</v>
      </c>
      <c r="BG98" s="29">
        <v>0</v>
      </c>
      <c r="BH98" s="29">
        <v>0</v>
      </c>
      <c r="BI98" s="29">
        <v>0</v>
      </c>
      <c r="BJ98" s="191">
        <f t="shared" si="28"/>
        <v>0</v>
      </c>
      <c r="BK98" s="191">
        <f t="shared" si="29"/>
        <v>0</v>
      </c>
      <c r="BL98" s="191">
        <f>$BO$9+SUMPRODUCT($D$10:D98,$BK$10:BK98)</f>
        <v>-10916570.530933687</v>
      </c>
      <c r="BM98" s="30">
        <f t="shared" si="30"/>
        <v>6</v>
      </c>
      <c r="BN98" s="191">
        <f t="shared" si="33"/>
        <v>12533583.454290001</v>
      </c>
      <c r="BO98" s="192">
        <f t="shared" si="31"/>
        <v>221426641.02584001</v>
      </c>
      <c r="BP98" s="41">
        <f t="shared" si="34"/>
        <v>0</v>
      </c>
      <c r="BQ98" s="41">
        <f t="shared" si="35"/>
        <v>0</v>
      </c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>
      <c r="A99" s="193">
        <f t="shared" si="37"/>
        <v>90</v>
      </c>
      <c r="B99" s="194">
        <f t="shared" si="37"/>
        <v>2108</v>
      </c>
      <c r="C99" s="29">
        <v>6</v>
      </c>
      <c r="D99" s="191">
        <f t="shared" si="36"/>
        <v>5.2599999999999999E-3</v>
      </c>
      <c r="E99" s="29">
        <v>0</v>
      </c>
      <c r="F99" s="191">
        <f t="shared" si="18"/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191">
        <f t="shared" si="21"/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191">
        <f t="shared" si="22"/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191">
        <f t="shared" si="23"/>
        <v>0</v>
      </c>
      <c r="AD99" s="29">
        <v>0</v>
      </c>
      <c r="AE99" s="29">
        <v>0</v>
      </c>
      <c r="AF99" s="29">
        <v>0</v>
      </c>
      <c r="AG99" s="29">
        <v>0</v>
      </c>
      <c r="AH99" s="191">
        <f t="shared" si="24"/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191">
        <f t="shared" si="25"/>
        <v>0</v>
      </c>
      <c r="AS99" s="191">
        <f t="shared" si="26"/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0</v>
      </c>
      <c r="AY99" s="29">
        <v>0</v>
      </c>
      <c r="AZ99" s="191">
        <f t="shared" si="27"/>
        <v>0</v>
      </c>
      <c r="BA99" s="29">
        <v>0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0</v>
      </c>
      <c r="BJ99" s="191">
        <f t="shared" si="28"/>
        <v>0</v>
      </c>
      <c r="BK99" s="191">
        <f t="shared" si="29"/>
        <v>0</v>
      </c>
      <c r="BL99" s="191">
        <f>$BO$9+SUMPRODUCT($D$10:D99,$BK$10:BK99)</f>
        <v>-10916570.530933687</v>
      </c>
      <c r="BM99" s="30">
        <f t="shared" si="30"/>
        <v>6</v>
      </c>
      <c r="BN99" s="191">
        <f t="shared" si="33"/>
        <v>13285598.461549999</v>
      </c>
      <c r="BO99" s="192">
        <f t="shared" si="31"/>
        <v>234712239.48739001</v>
      </c>
      <c r="BP99" s="41">
        <f t="shared" si="34"/>
        <v>0</v>
      </c>
      <c r="BQ99" s="41">
        <f t="shared" si="35"/>
        <v>0</v>
      </c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>
      <c r="A100" s="193">
        <f t="shared" si="37"/>
        <v>91</v>
      </c>
      <c r="B100" s="194">
        <f t="shared" si="37"/>
        <v>2109</v>
      </c>
      <c r="C100" s="29">
        <v>6</v>
      </c>
      <c r="D100" s="191">
        <f t="shared" si="36"/>
        <v>4.96E-3</v>
      </c>
      <c r="E100" s="29">
        <v>0</v>
      </c>
      <c r="F100" s="191">
        <f t="shared" si="18"/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191">
        <f t="shared" si="21"/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191">
        <f t="shared" si="22"/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29">
        <v>0</v>
      </c>
      <c r="AB100" s="29">
        <v>0</v>
      </c>
      <c r="AC100" s="191">
        <f t="shared" si="23"/>
        <v>0</v>
      </c>
      <c r="AD100" s="29">
        <v>0</v>
      </c>
      <c r="AE100" s="29">
        <v>0</v>
      </c>
      <c r="AF100" s="29">
        <v>0</v>
      </c>
      <c r="AG100" s="29">
        <v>0</v>
      </c>
      <c r="AH100" s="191">
        <f t="shared" si="24"/>
        <v>0</v>
      </c>
      <c r="AI100" s="29">
        <v>0</v>
      </c>
      <c r="AJ100" s="29">
        <v>0</v>
      </c>
      <c r="AK100" s="29">
        <v>0</v>
      </c>
      <c r="AL100" s="29">
        <v>0</v>
      </c>
      <c r="AM100" s="29">
        <v>0</v>
      </c>
      <c r="AN100" s="29">
        <v>0</v>
      </c>
      <c r="AO100" s="29">
        <v>0</v>
      </c>
      <c r="AP100" s="29">
        <v>0</v>
      </c>
      <c r="AQ100" s="29">
        <v>0</v>
      </c>
      <c r="AR100" s="191">
        <f t="shared" si="25"/>
        <v>0</v>
      </c>
      <c r="AS100" s="191">
        <f t="shared" si="26"/>
        <v>0</v>
      </c>
      <c r="AT100" s="29">
        <v>0</v>
      </c>
      <c r="AU100" s="29">
        <v>0</v>
      </c>
      <c r="AV100" s="29">
        <v>0</v>
      </c>
      <c r="AW100" s="29">
        <v>0</v>
      </c>
      <c r="AX100" s="29">
        <v>0</v>
      </c>
      <c r="AY100" s="29">
        <v>0</v>
      </c>
      <c r="AZ100" s="191">
        <f t="shared" si="27"/>
        <v>0</v>
      </c>
      <c r="BA100" s="29">
        <v>0</v>
      </c>
      <c r="BB100" s="29">
        <v>0</v>
      </c>
      <c r="BC100" s="29">
        <v>0</v>
      </c>
      <c r="BD100" s="29">
        <v>0</v>
      </c>
      <c r="BE100" s="29">
        <v>0</v>
      </c>
      <c r="BF100" s="29">
        <v>0</v>
      </c>
      <c r="BG100" s="29">
        <v>0</v>
      </c>
      <c r="BH100" s="29">
        <v>0</v>
      </c>
      <c r="BI100" s="29">
        <v>0</v>
      </c>
      <c r="BJ100" s="191">
        <f t="shared" si="28"/>
        <v>0</v>
      </c>
      <c r="BK100" s="191">
        <f t="shared" si="29"/>
        <v>0</v>
      </c>
      <c r="BL100" s="191">
        <f>$BO$9+SUMPRODUCT($D$10:D100,$BK$10:BK100)</f>
        <v>-10916570.530933687</v>
      </c>
      <c r="BM100" s="30">
        <f t="shared" si="30"/>
        <v>6</v>
      </c>
      <c r="BN100" s="191">
        <f t="shared" si="33"/>
        <v>14082734.369240001</v>
      </c>
      <c r="BO100" s="192">
        <f t="shared" si="31"/>
        <v>248794973.85663</v>
      </c>
      <c r="BP100" s="41">
        <f t="shared" si="34"/>
        <v>0</v>
      </c>
      <c r="BQ100" s="41">
        <f t="shared" si="35"/>
        <v>0</v>
      </c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>
      <c r="A101" s="193">
        <f t="shared" si="37"/>
        <v>92</v>
      </c>
      <c r="B101" s="194">
        <f t="shared" si="37"/>
        <v>2110</v>
      </c>
      <c r="C101" s="29">
        <v>6</v>
      </c>
      <c r="D101" s="191">
        <f t="shared" si="36"/>
        <v>4.6800000000000001E-3</v>
      </c>
      <c r="E101" s="29">
        <v>0</v>
      </c>
      <c r="F101" s="191">
        <f t="shared" si="18"/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191">
        <f t="shared" si="21"/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191">
        <f t="shared" si="22"/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191">
        <f t="shared" si="23"/>
        <v>0</v>
      </c>
      <c r="AD101" s="29">
        <v>0</v>
      </c>
      <c r="AE101" s="29">
        <v>0</v>
      </c>
      <c r="AF101" s="29">
        <v>0</v>
      </c>
      <c r="AG101" s="29">
        <v>0</v>
      </c>
      <c r="AH101" s="191">
        <f t="shared" si="24"/>
        <v>0</v>
      </c>
      <c r="AI101" s="29">
        <v>0</v>
      </c>
      <c r="AJ101" s="29">
        <v>0</v>
      </c>
      <c r="AK101" s="29">
        <v>0</v>
      </c>
      <c r="AL101" s="29">
        <v>0</v>
      </c>
      <c r="AM101" s="29">
        <v>0</v>
      </c>
      <c r="AN101" s="29">
        <v>0</v>
      </c>
      <c r="AO101" s="29">
        <v>0</v>
      </c>
      <c r="AP101" s="29">
        <v>0</v>
      </c>
      <c r="AQ101" s="29">
        <v>0</v>
      </c>
      <c r="AR101" s="191">
        <f t="shared" si="25"/>
        <v>0</v>
      </c>
      <c r="AS101" s="191">
        <f t="shared" si="26"/>
        <v>0</v>
      </c>
      <c r="AT101" s="29">
        <v>0</v>
      </c>
      <c r="AU101" s="29">
        <v>0</v>
      </c>
      <c r="AV101" s="29">
        <v>0</v>
      </c>
      <c r="AW101" s="29">
        <v>0</v>
      </c>
      <c r="AX101" s="29">
        <v>0</v>
      </c>
      <c r="AY101" s="29">
        <v>0</v>
      </c>
      <c r="AZ101" s="191">
        <f t="shared" si="27"/>
        <v>0</v>
      </c>
      <c r="BA101" s="29">
        <v>0</v>
      </c>
      <c r="BB101" s="29">
        <v>0</v>
      </c>
      <c r="BC101" s="29">
        <v>0</v>
      </c>
      <c r="BD101" s="29">
        <v>0</v>
      </c>
      <c r="BE101" s="29">
        <v>0</v>
      </c>
      <c r="BF101" s="29">
        <v>0</v>
      </c>
      <c r="BG101" s="29">
        <v>0</v>
      </c>
      <c r="BH101" s="29">
        <v>0</v>
      </c>
      <c r="BI101" s="29">
        <v>0</v>
      </c>
      <c r="BJ101" s="191">
        <f t="shared" si="28"/>
        <v>0</v>
      </c>
      <c r="BK101" s="191">
        <f t="shared" si="29"/>
        <v>0</v>
      </c>
      <c r="BL101" s="191">
        <f>$BO$9+SUMPRODUCT($D$10:D101,$BK$10:BK101)</f>
        <v>-10916570.530933687</v>
      </c>
      <c r="BM101" s="30">
        <f t="shared" si="30"/>
        <v>6</v>
      </c>
      <c r="BN101" s="191">
        <f t="shared" si="33"/>
        <v>14927698.431399999</v>
      </c>
      <c r="BO101" s="192">
        <f t="shared" si="31"/>
        <v>263722672.28803</v>
      </c>
      <c r="BP101" s="41">
        <f t="shared" si="34"/>
        <v>0</v>
      </c>
      <c r="BQ101" s="41">
        <f t="shared" si="35"/>
        <v>0</v>
      </c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>
      <c r="A102" s="193">
        <f t="shared" si="37"/>
        <v>93</v>
      </c>
      <c r="B102" s="194">
        <f t="shared" si="37"/>
        <v>2111</v>
      </c>
      <c r="C102" s="29">
        <v>6</v>
      </c>
      <c r="D102" s="191">
        <f t="shared" si="36"/>
        <v>4.4200000000000003E-3</v>
      </c>
      <c r="E102" s="29">
        <v>0</v>
      </c>
      <c r="F102" s="191">
        <f t="shared" si="18"/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191">
        <f t="shared" si="21"/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191">
        <f t="shared" si="22"/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191">
        <f t="shared" si="23"/>
        <v>0</v>
      </c>
      <c r="AD102" s="29">
        <v>0</v>
      </c>
      <c r="AE102" s="29">
        <v>0</v>
      </c>
      <c r="AF102" s="29">
        <v>0</v>
      </c>
      <c r="AG102" s="29">
        <v>0</v>
      </c>
      <c r="AH102" s="191">
        <f t="shared" si="24"/>
        <v>0</v>
      </c>
      <c r="AI102" s="29">
        <v>0</v>
      </c>
      <c r="AJ102" s="29">
        <v>0</v>
      </c>
      <c r="AK102" s="29">
        <v>0</v>
      </c>
      <c r="AL102" s="29">
        <v>0</v>
      </c>
      <c r="AM102" s="29">
        <v>0</v>
      </c>
      <c r="AN102" s="29">
        <v>0</v>
      </c>
      <c r="AO102" s="29">
        <v>0</v>
      </c>
      <c r="AP102" s="29">
        <v>0</v>
      </c>
      <c r="AQ102" s="29">
        <v>0</v>
      </c>
      <c r="AR102" s="191">
        <f t="shared" si="25"/>
        <v>0</v>
      </c>
      <c r="AS102" s="191">
        <f t="shared" si="26"/>
        <v>0</v>
      </c>
      <c r="AT102" s="29">
        <v>0</v>
      </c>
      <c r="AU102" s="29">
        <v>0</v>
      </c>
      <c r="AV102" s="29">
        <v>0</v>
      </c>
      <c r="AW102" s="29">
        <v>0</v>
      </c>
      <c r="AX102" s="29">
        <v>0</v>
      </c>
      <c r="AY102" s="29">
        <v>0</v>
      </c>
      <c r="AZ102" s="191">
        <f t="shared" si="27"/>
        <v>0</v>
      </c>
      <c r="BA102" s="29">
        <v>0</v>
      </c>
      <c r="BB102" s="29">
        <v>0</v>
      </c>
      <c r="BC102" s="29">
        <v>0</v>
      </c>
      <c r="BD102" s="29">
        <v>0</v>
      </c>
      <c r="BE102" s="29">
        <v>0</v>
      </c>
      <c r="BF102" s="29">
        <v>0</v>
      </c>
      <c r="BG102" s="29">
        <v>0</v>
      </c>
      <c r="BH102" s="29">
        <v>0</v>
      </c>
      <c r="BI102" s="29">
        <v>0</v>
      </c>
      <c r="BJ102" s="191">
        <f t="shared" si="28"/>
        <v>0</v>
      </c>
      <c r="BK102" s="191">
        <f t="shared" si="29"/>
        <v>0</v>
      </c>
      <c r="BL102" s="191">
        <f>$BO$9+SUMPRODUCT($D$10:D102,$BK$10:BK102)</f>
        <v>-10916570.530933687</v>
      </c>
      <c r="BM102" s="30">
        <f t="shared" si="30"/>
        <v>6</v>
      </c>
      <c r="BN102" s="191">
        <f t="shared" si="33"/>
        <v>15823360.33728</v>
      </c>
      <c r="BO102" s="192">
        <f t="shared" si="31"/>
        <v>279546032.62531</v>
      </c>
      <c r="BP102" s="41">
        <f t="shared" si="34"/>
        <v>0</v>
      </c>
      <c r="BQ102" s="41">
        <f t="shared" si="35"/>
        <v>0</v>
      </c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>
      <c r="A103" s="193">
        <f t="shared" si="37"/>
        <v>94</v>
      </c>
      <c r="B103" s="194">
        <f t="shared" si="37"/>
        <v>2112</v>
      </c>
      <c r="C103" s="29">
        <v>6</v>
      </c>
      <c r="D103" s="191">
        <f t="shared" si="36"/>
        <v>4.1700000000000001E-3</v>
      </c>
      <c r="E103" s="29">
        <v>0</v>
      </c>
      <c r="F103" s="191">
        <f t="shared" si="18"/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191">
        <f t="shared" si="21"/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191">
        <f t="shared" si="22"/>
        <v>0</v>
      </c>
      <c r="V103" s="29">
        <v>0</v>
      </c>
      <c r="W103" s="29">
        <v>0</v>
      </c>
      <c r="X103" s="29">
        <v>0</v>
      </c>
      <c r="Y103" s="29">
        <v>0</v>
      </c>
      <c r="Z103" s="29">
        <v>0</v>
      </c>
      <c r="AA103" s="29">
        <v>0</v>
      </c>
      <c r="AB103" s="29">
        <v>0</v>
      </c>
      <c r="AC103" s="191">
        <f t="shared" si="23"/>
        <v>0</v>
      </c>
      <c r="AD103" s="29">
        <v>0</v>
      </c>
      <c r="AE103" s="29">
        <v>0</v>
      </c>
      <c r="AF103" s="29">
        <v>0</v>
      </c>
      <c r="AG103" s="29">
        <v>0</v>
      </c>
      <c r="AH103" s="191">
        <f t="shared" si="24"/>
        <v>0</v>
      </c>
      <c r="AI103" s="29">
        <v>0</v>
      </c>
      <c r="AJ103" s="29">
        <v>0</v>
      </c>
      <c r="AK103" s="29">
        <v>0</v>
      </c>
      <c r="AL103" s="29">
        <v>0</v>
      </c>
      <c r="AM103" s="29">
        <v>0</v>
      </c>
      <c r="AN103" s="29">
        <v>0</v>
      </c>
      <c r="AO103" s="29">
        <v>0</v>
      </c>
      <c r="AP103" s="29">
        <v>0</v>
      </c>
      <c r="AQ103" s="29">
        <v>0</v>
      </c>
      <c r="AR103" s="191">
        <f t="shared" si="25"/>
        <v>0</v>
      </c>
      <c r="AS103" s="191">
        <f t="shared" si="26"/>
        <v>0</v>
      </c>
      <c r="AT103" s="29">
        <v>0</v>
      </c>
      <c r="AU103" s="29">
        <v>0</v>
      </c>
      <c r="AV103" s="29">
        <v>0</v>
      </c>
      <c r="AW103" s="29">
        <v>0</v>
      </c>
      <c r="AX103" s="29">
        <v>0</v>
      </c>
      <c r="AY103" s="29">
        <v>0</v>
      </c>
      <c r="AZ103" s="191">
        <f t="shared" si="27"/>
        <v>0</v>
      </c>
      <c r="BA103" s="29">
        <v>0</v>
      </c>
      <c r="BB103" s="29">
        <v>0</v>
      </c>
      <c r="BC103" s="29">
        <v>0</v>
      </c>
      <c r="BD103" s="29">
        <v>0</v>
      </c>
      <c r="BE103" s="29">
        <v>0</v>
      </c>
      <c r="BF103" s="29">
        <v>0</v>
      </c>
      <c r="BG103" s="29">
        <v>0</v>
      </c>
      <c r="BH103" s="29">
        <v>0</v>
      </c>
      <c r="BI103" s="29">
        <v>0</v>
      </c>
      <c r="BJ103" s="191">
        <f t="shared" si="28"/>
        <v>0</v>
      </c>
      <c r="BK103" s="191">
        <f t="shared" si="29"/>
        <v>0</v>
      </c>
      <c r="BL103" s="191">
        <f>$BO$9+SUMPRODUCT($D$10:D103,$BK$10:BK103)</f>
        <v>-10916570.530933687</v>
      </c>
      <c r="BM103" s="30">
        <f t="shared" si="30"/>
        <v>6</v>
      </c>
      <c r="BN103" s="191">
        <f t="shared" si="33"/>
        <v>16772761.957520001</v>
      </c>
      <c r="BO103" s="192">
        <f t="shared" si="31"/>
        <v>296318794.58283001</v>
      </c>
      <c r="BP103" s="41">
        <f t="shared" si="34"/>
        <v>0</v>
      </c>
      <c r="BQ103" s="41">
        <f t="shared" si="35"/>
        <v>0</v>
      </c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>
      <c r="A104" s="193">
        <f t="shared" si="37"/>
        <v>95</v>
      </c>
      <c r="B104" s="194">
        <f t="shared" si="37"/>
        <v>2113</v>
      </c>
      <c r="C104" s="29">
        <v>6</v>
      </c>
      <c r="D104" s="191">
        <f t="shared" si="36"/>
        <v>3.9300000000000003E-3</v>
      </c>
      <c r="E104" s="29">
        <v>0</v>
      </c>
      <c r="F104" s="191">
        <f t="shared" si="18"/>
        <v>0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191">
        <f t="shared" si="21"/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191">
        <f t="shared" si="22"/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191">
        <f t="shared" si="23"/>
        <v>0</v>
      </c>
      <c r="AD104" s="29">
        <v>0</v>
      </c>
      <c r="AE104" s="29">
        <v>0</v>
      </c>
      <c r="AF104" s="29">
        <v>0</v>
      </c>
      <c r="AG104" s="29">
        <v>0</v>
      </c>
      <c r="AH104" s="191">
        <f t="shared" si="24"/>
        <v>0</v>
      </c>
      <c r="AI104" s="29">
        <v>0</v>
      </c>
      <c r="AJ104" s="29">
        <v>0</v>
      </c>
      <c r="AK104" s="29">
        <v>0</v>
      </c>
      <c r="AL104" s="29">
        <v>0</v>
      </c>
      <c r="AM104" s="29">
        <v>0</v>
      </c>
      <c r="AN104" s="29">
        <v>0</v>
      </c>
      <c r="AO104" s="29">
        <v>0</v>
      </c>
      <c r="AP104" s="29">
        <v>0</v>
      </c>
      <c r="AQ104" s="29">
        <v>0</v>
      </c>
      <c r="AR104" s="191">
        <f t="shared" si="25"/>
        <v>0</v>
      </c>
      <c r="AS104" s="191">
        <f t="shared" si="26"/>
        <v>0</v>
      </c>
      <c r="AT104" s="29">
        <v>0</v>
      </c>
      <c r="AU104" s="29">
        <v>0</v>
      </c>
      <c r="AV104" s="29">
        <v>0</v>
      </c>
      <c r="AW104" s="29">
        <v>0</v>
      </c>
      <c r="AX104" s="29">
        <v>0</v>
      </c>
      <c r="AY104" s="29">
        <v>0</v>
      </c>
      <c r="AZ104" s="191">
        <f t="shared" si="27"/>
        <v>0</v>
      </c>
      <c r="BA104" s="29">
        <v>0</v>
      </c>
      <c r="BB104" s="29">
        <v>0</v>
      </c>
      <c r="BC104" s="29">
        <v>0</v>
      </c>
      <c r="BD104" s="29">
        <v>0</v>
      </c>
      <c r="BE104" s="29">
        <v>0</v>
      </c>
      <c r="BF104" s="29">
        <v>0</v>
      </c>
      <c r="BG104" s="29">
        <v>0</v>
      </c>
      <c r="BH104" s="29">
        <v>0</v>
      </c>
      <c r="BI104" s="29">
        <v>0</v>
      </c>
      <c r="BJ104" s="191">
        <f t="shared" si="28"/>
        <v>0</v>
      </c>
      <c r="BK104" s="191">
        <f t="shared" si="29"/>
        <v>0</v>
      </c>
      <c r="BL104" s="191">
        <f>$BO$9+SUMPRODUCT($D$10:D104,$BK$10:BK104)</f>
        <v>-10916570.530933687</v>
      </c>
      <c r="BM104" s="30">
        <f t="shared" si="30"/>
        <v>6</v>
      </c>
      <c r="BN104" s="191">
        <f t="shared" si="33"/>
        <v>17779127.674970001</v>
      </c>
      <c r="BO104" s="192">
        <f t="shared" si="31"/>
        <v>314097922.25779998</v>
      </c>
      <c r="BP104" s="41">
        <f t="shared" si="34"/>
        <v>0</v>
      </c>
      <c r="BQ104" s="41">
        <f t="shared" si="35"/>
        <v>0</v>
      </c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>
      <c r="A105" s="193">
        <f t="shared" si="37"/>
        <v>96</v>
      </c>
      <c r="B105" s="194">
        <f t="shared" si="37"/>
        <v>2114</v>
      </c>
      <c r="C105" s="29">
        <v>6</v>
      </c>
      <c r="D105" s="191">
        <f t="shared" si="36"/>
        <v>3.7100000000000002E-3</v>
      </c>
      <c r="E105" s="29">
        <v>0</v>
      </c>
      <c r="F105" s="191">
        <f t="shared" si="18"/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191">
        <f t="shared" si="21"/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191">
        <f t="shared" si="22"/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191">
        <f t="shared" si="23"/>
        <v>0</v>
      </c>
      <c r="AD105" s="29">
        <v>0</v>
      </c>
      <c r="AE105" s="29">
        <v>0</v>
      </c>
      <c r="AF105" s="29">
        <v>0</v>
      </c>
      <c r="AG105" s="29">
        <v>0</v>
      </c>
      <c r="AH105" s="191">
        <f t="shared" si="24"/>
        <v>0</v>
      </c>
      <c r="AI105" s="29">
        <v>0</v>
      </c>
      <c r="AJ105" s="29">
        <v>0</v>
      </c>
      <c r="AK105" s="29">
        <v>0</v>
      </c>
      <c r="AL105" s="29">
        <v>0</v>
      </c>
      <c r="AM105" s="29">
        <v>0</v>
      </c>
      <c r="AN105" s="29">
        <v>0</v>
      </c>
      <c r="AO105" s="29">
        <v>0</v>
      </c>
      <c r="AP105" s="29">
        <v>0</v>
      </c>
      <c r="AQ105" s="29">
        <v>0</v>
      </c>
      <c r="AR105" s="191">
        <f t="shared" si="25"/>
        <v>0</v>
      </c>
      <c r="AS105" s="191">
        <f t="shared" si="26"/>
        <v>0</v>
      </c>
      <c r="AT105" s="29">
        <v>0</v>
      </c>
      <c r="AU105" s="29">
        <v>0</v>
      </c>
      <c r="AV105" s="29">
        <v>0</v>
      </c>
      <c r="AW105" s="29">
        <v>0</v>
      </c>
      <c r="AX105" s="29">
        <v>0</v>
      </c>
      <c r="AY105" s="29">
        <v>0</v>
      </c>
      <c r="AZ105" s="191">
        <f t="shared" si="27"/>
        <v>0</v>
      </c>
      <c r="BA105" s="29">
        <v>0</v>
      </c>
      <c r="BB105" s="29">
        <v>0</v>
      </c>
      <c r="BC105" s="29">
        <v>0</v>
      </c>
      <c r="BD105" s="29">
        <v>0</v>
      </c>
      <c r="BE105" s="29">
        <v>0</v>
      </c>
      <c r="BF105" s="29">
        <v>0</v>
      </c>
      <c r="BG105" s="29">
        <v>0</v>
      </c>
      <c r="BH105" s="29">
        <v>0</v>
      </c>
      <c r="BI105" s="29">
        <v>0</v>
      </c>
      <c r="BJ105" s="191">
        <f t="shared" si="28"/>
        <v>0</v>
      </c>
      <c r="BK105" s="191">
        <f t="shared" si="29"/>
        <v>0</v>
      </c>
      <c r="BL105" s="191">
        <f>$BO$9+SUMPRODUCT($D$10:D105,$BK$10:BK105)</f>
        <v>-10916570.530933687</v>
      </c>
      <c r="BM105" s="30">
        <f t="shared" si="30"/>
        <v>6</v>
      </c>
      <c r="BN105" s="191">
        <f t="shared" si="33"/>
        <v>18845875.335469998</v>
      </c>
      <c r="BO105" s="192">
        <f t="shared" si="31"/>
        <v>332943797.59327</v>
      </c>
      <c r="BP105" s="41">
        <f t="shared" si="34"/>
        <v>0</v>
      </c>
      <c r="BQ105" s="41">
        <f t="shared" si="35"/>
        <v>0</v>
      </c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>
      <c r="A106" s="193">
        <f t="shared" si="37"/>
        <v>97</v>
      </c>
      <c r="B106" s="194">
        <f t="shared" si="37"/>
        <v>2115</v>
      </c>
      <c r="C106" s="29">
        <v>6</v>
      </c>
      <c r="D106" s="191">
        <f t="shared" si="36"/>
        <v>3.5000000000000001E-3</v>
      </c>
      <c r="E106" s="29">
        <v>0</v>
      </c>
      <c r="F106" s="191">
        <f t="shared" ref="F106:F159" si="38">ROUND(SUM(G106:J106),5)</f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191">
        <f t="shared" si="21"/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191">
        <f t="shared" si="22"/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191">
        <f t="shared" si="23"/>
        <v>0</v>
      </c>
      <c r="AD106" s="29">
        <v>0</v>
      </c>
      <c r="AE106" s="29">
        <v>0</v>
      </c>
      <c r="AF106" s="29">
        <v>0</v>
      </c>
      <c r="AG106" s="29">
        <v>0</v>
      </c>
      <c r="AH106" s="191">
        <f t="shared" si="24"/>
        <v>0</v>
      </c>
      <c r="AI106" s="29">
        <v>0</v>
      </c>
      <c r="AJ106" s="29">
        <v>0</v>
      </c>
      <c r="AK106" s="29">
        <v>0</v>
      </c>
      <c r="AL106" s="29">
        <v>0</v>
      </c>
      <c r="AM106" s="29">
        <v>0</v>
      </c>
      <c r="AN106" s="29">
        <v>0</v>
      </c>
      <c r="AO106" s="29">
        <v>0</v>
      </c>
      <c r="AP106" s="29">
        <v>0</v>
      </c>
      <c r="AQ106" s="29">
        <v>0</v>
      </c>
      <c r="AR106" s="191">
        <f t="shared" si="25"/>
        <v>0</v>
      </c>
      <c r="AS106" s="191">
        <f t="shared" si="26"/>
        <v>0</v>
      </c>
      <c r="AT106" s="29">
        <v>0</v>
      </c>
      <c r="AU106" s="29">
        <v>0</v>
      </c>
      <c r="AV106" s="29">
        <v>0</v>
      </c>
      <c r="AW106" s="29">
        <v>0</v>
      </c>
      <c r="AX106" s="29">
        <v>0</v>
      </c>
      <c r="AY106" s="29">
        <v>0</v>
      </c>
      <c r="AZ106" s="191">
        <f t="shared" si="27"/>
        <v>0</v>
      </c>
      <c r="BA106" s="29">
        <v>0</v>
      </c>
      <c r="BB106" s="29">
        <v>0</v>
      </c>
      <c r="BC106" s="29">
        <v>0</v>
      </c>
      <c r="BD106" s="29">
        <v>0</v>
      </c>
      <c r="BE106" s="29">
        <v>0</v>
      </c>
      <c r="BF106" s="29">
        <v>0</v>
      </c>
      <c r="BG106" s="29">
        <v>0</v>
      </c>
      <c r="BH106" s="29">
        <v>0</v>
      </c>
      <c r="BI106" s="29">
        <v>0</v>
      </c>
      <c r="BJ106" s="191">
        <f t="shared" si="28"/>
        <v>0</v>
      </c>
      <c r="BK106" s="191">
        <f t="shared" si="29"/>
        <v>0</v>
      </c>
      <c r="BL106" s="191">
        <f>$BO$9+SUMPRODUCT($D$10:D106,$BK$10:BK106)</f>
        <v>-10916570.530933687</v>
      </c>
      <c r="BM106" s="30">
        <f t="shared" si="30"/>
        <v>6</v>
      </c>
      <c r="BN106" s="191">
        <f t="shared" si="33"/>
        <v>19976627.855599999</v>
      </c>
      <c r="BO106" s="192">
        <f t="shared" si="31"/>
        <v>352920425.44887</v>
      </c>
      <c r="BP106" s="41">
        <f t="shared" si="34"/>
        <v>0</v>
      </c>
      <c r="BQ106" s="41">
        <f t="shared" si="35"/>
        <v>0</v>
      </c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>
      <c r="A107" s="193">
        <f t="shared" ref="A107:B122" si="39">A106+1</f>
        <v>98</v>
      </c>
      <c r="B107" s="194">
        <f t="shared" si="39"/>
        <v>2116</v>
      </c>
      <c r="C107" s="29">
        <v>6</v>
      </c>
      <c r="D107" s="191">
        <f t="shared" si="36"/>
        <v>3.3E-3</v>
      </c>
      <c r="E107" s="29">
        <v>0</v>
      </c>
      <c r="F107" s="191">
        <f t="shared" si="38"/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191">
        <f t="shared" si="21"/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191">
        <f t="shared" si="22"/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v>0</v>
      </c>
      <c r="AB107" s="29">
        <v>0</v>
      </c>
      <c r="AC107" s="191">
        <f t="shared" si="23"/>
        <v>0</v>
      </c>
      <c r="AD107" s="29">
        <v>0</v>
      </c>
      <c r="AE107" s="29">
        <v>0</v>
      </c>
      <c r="AF107" s="29">
        <v>0</v>
      </c>
      <c r="AG107" s="29">
        <v>0</v>
      </c>
      <c r="AH107" s="191">
        <f t="shared" si="24"/>
        <v>0</v>
      </c>
      <c r="AI107" s="29">
        <v>0</v>
      </c>
      <c r="AJ107" s="29">
        <v>0</v>
      </c>
      <c r="AK107" s="29">
        <v>0</v>
      </c>
      <c r="AL107" s="29">
        <v>0</v>
      </c>
      <c r="AM107" s="29">
        <v>0</v>
      </c>
      <c r="AN107" s="29">
        <v>0</v>
      </c>
      <c r="AO107" s="29">
        <v>0</v>
      </c>
      <c r="AP107" s="29">
        <v>0</v>
      </c>
      <c r="AQ107" s="29">
        <v>0</v>
      </c>
      <c r="AR107" s="191">
        <f t="shared" si="25"/>
        <v>0</v>
      </c>
      <c r="AS107" s="191">
        <f t="shared" si="26"/>
        <v>0</v>
      </c>
      <c r="AT107" s="29">
        <v>0</v>
      </c>
      <c r="AU107" s="29">
        <v>0</v>
      </c>
      <c r="AV107" s="29">
        <v>0</v>
      </c>
      <c r="AW107" s="29">
        <v>0</v>
      </c>
      <c r="AX107" s="29">
        <v>0</v>
      </c>
      <c r="AY107" s="29">
        <v>0</v>
      </c>
      <c r="AZ107" s="191">
        <f t="shared" si="27"/>
        <v>0</v>
      </c>
      <c r="BA107" s="29">
        <v>0</v>
      </c>
      <c r="BB107" s="29">
        <v>0</v>
      </c>
      <c r="BC107" s="29">
        <v>0</v>
      </c>
      <c r="BD107" s="29">
        <v>0</v>
      </c>
      <c r="BE107" s="29">
        <v>0</v>
      </c>
      <c r="BF107" s="29">
        <v>0</v>
      </c>
      <c r="BG107" s="29">
        <v>0</v>
      </c>
      <c r="BH107" s="29">
        <v>0</v>
      </c>
      <c r="BI107" s="29">
        <v>0</v>
      </c>
      <c r="BJ107" s="191">
        <f t="shared" si="28"/>
        <v>0</v>
      </c>
      <c r="BK107" s="191">
        <f t="shared" si="29"/>
        <v>0</v>
      </c>
      <c r="BL107" s="191">
        <f>$BO$9+SUMPRODUCT($D$10:D107,$BK$10:BK107)</f>
        <v>-10916570.530933687</v>
      </c>
      <c r="BM107" s="30">
        <f t="shared" si="30"/>
        <v>6</v>
      </c>
      <c r="BN107" s="191">
        <f t="shared" si="33"/>
        <v>21175225.526930001</v>
      </c>
      <c r="BO107" s="192">
        <f t="shared" si="31"/>
        <v>374095650.97579998</v>
      </c>
      <c r="BP107" s="41">
        <f t="shared" si="34"/>
        <v>0</v>
      </c>
      <c r="BQ107" s="41">
        <f t="shared" si="35"/>
        <v>0</v>
      </c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>
      <c r="A108" s="193">
        <f t="shared" si="39"/>
        <v>99</v>
      </c>
      <c r="B108" s="194">
        <f t="shared" si="39"/>
        <v>2117</v>
      </c>
      <c r="C108" s="29">
        <v>6</v>
      </c>
      <c r="D108" s="191">
        <f t="shared" si="36"/>
        <v>3.1099999999999999E-3</v>
      </c>
      <c r="E108" s="29">
        <v>0</v>
      </c>
      <c r="F108" s="191">
        <f t="shared" si="38"/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191">
        <f t="shared" si="21"/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191">
        <f t="shared" si="22"/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191">
        <f t="shared" si="23"/>
        <v>0</v>
      </c>
      <c r="AD108" s="29">
        <v>0</v>
      </c>
      <c r="AE108" s="29">
        <v>0</v>
      </c>
      <c r="AF108" s="29">
        <v>0</v>
      </c>
      <c r="AG108" s="29">
        <v>0</v>
      </c>
      <c r="AH108" s="191">
        <f t="shared" si="24"/>
        <v>0</v>
      </c>
      <c r="AI108" s="29">
        <v>0</v>
      </c>
      <c r="AJ108" s="29">
        <v>0</v>
      </c>
      <c r="AK108" s="29">
        <v>0</v>
      </c>
      <c r="AL108" s="29">
        <v>0</v>
      </c>
      <c r="AM108" s="29">
        <v>0</v>
      </c>
      <c r="AN108" s="29">
        <v>0</v>
      </c>
      <c r="AO108" s="29">
        <v>0</v>
      </c>
      <c r="AP108" s="29">
        <v>0</v>
      </c>
      <c r="AQ108" s="29">
        <v>0</v>
      </c>
      <c r="AR108" s="191">
        <f t="shared" si="25"/>
        <v>0</v>
      </c>
      <c r="AS108" s="191">
        <f t="shared" si="26"/>
        <v>0</v>
      </c>
      <c r="AT108" s="29">
        <v>0</v>
      </c>
      <c r="AU108" s="29">
        <v>0</v>
      </c>
      <c r="AV108" s="29">
        <v>0</v>
      </c>
      <c r="AW108" s="29">
        <v>0</v>
      </c>
      <c r="AX108" s="29">
        <v>0</v>
      </c>
      <c r="AY108" s="29">
        <v>0</v>
      </c>
      <c r="AZ108" s="191">
        <f t="shared" si="27"/>
        <v>0</v>
      </c>
      <c r="BA108" s="29">
        <v>0</v>
      </c>
      <c r="BB108" s="29">
        <v>0</v>
      </c>
      <c r="BC108" s="29">
        <v>0</v>
      </c>
      <c r="BD108" s="29">
        <v>0</v>
      </c>
      <c r="BE108" s="29">
        <v>0</v>
      </c>
      <c r="BF108" s="29">
        <v>0</v>
      </c>
      <c r="BG108" s="29">
        <v>0</v>
      </c>
      <c r="BH108" s="29">
        <v>0</v>
      </c>
      <c r="BI108" s="29">
        <v>0</v>
      </c>
      <c r="BJ108" s="191">
        <f t="shared" si="28"/>
        <v>0</v>
      </c>
      <c r="BK108" s="191">
        <f t="shared" si="29"/>
        <v>0</v>
      </c>
      <c r="BL108" s="191">
        <f>$BO$9+SUMPRODUCT($D$10:D108,$BK$10:BK108)</f>
        <v>-10916570.530933687</v>
      </c>
      <c r="BM108" s="30">
        <f t="shared" si="30"/>
        <v>6</v>
      </c>
      <c r="BN108" s="191">
        <f t="shared" si="33"/>
        <v>22445739.05855</v>
      </c>
      <c r="BO108" s="192">
        <f t="shared" si="31"/>
        <v>396541390.03434998</v>
      </c>
      <c r="BP108" s="41">
        <f t="shared" si="34"/>
        <v>0</v>
      </c>
      <c r="BQ108" s="41">
        <f t="shared" si="35"/>
        <v>0</v>
      </c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>
      <c r="A109" s="193">
        <f t="shared" si="39"/>
        <v>100</v>
      </c>
      <c r="B109" s="194">
        <f t="shared" si="39"/>
        <v>2118</v>
      </c>
      <c r="C109" s="29">
        <v>6</v>
      </c>
      <c r="D109" s="191">
        <f t="shared" si="36"/>
        <v>2.9299999999999999E-3</v>
      </c>
      <c r="E109" s="29">
        <v>0</v>
      </c>
      <c r="F109" s="191">
        <f t="shared" si="38"/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191">
        <f t="shared" si="21"/>
        <v>0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191">
        <f t="shared" si="22"/>
        <v>0</v>
      </c>
      <c r="V109" s="29">
        <v>0</v>
      </c>
      <c r="W109" s="29">
        <v>0</v>
      </c>
      <c r="X109" s="29">
        <v>0</v>
      </c>
      <c r="Y109" s="29">
        <v>0</v>
      </c>
      <c r="Z109" s="29">
        <v>0</v>
      </c>
      <c r="AA109" s="29">
        <v>0</v>
      </c>
      <c r="AB109" s="29">
        <v>0</v>
      </c>
      <c r="AC109" s="191">
        <f t="shared" si="23"/>
        <v>0</v>
      </c>
      <c r="AD109" s="29">
        <v>0</v>
      </c>
      <c r="AE109" s="29">
        <v>0</v>
      </c>
      <c r="AF109" s="29">
        <v>0</v>
      </c>
      <c r="AG109" s="29">
        <v>0</v>
      </c>
      <c r="AH109" s="191">
        <f t="shared" si="24"/>
        <v>0</v>
      </c>
      <c r="AI109" s="29">
        <v>0</v>
      </c>
      <c r="AJ109" s="29">
        <v>0</v>
      </c>
      <c r="AK109" s="29">
        <v>0</v>
      </c>
      <c r="AL109" s="29">
        <v>0</v>
      </c>
      <c r="AM109" s="29">
        <v>0</v>
      </c>
      <c r="AN109" s="29">
        <v>0</v>
      </c>
      <c r="AO109" s="29">
        <v>0</v>
      </c>
      <c r="AP109" s="29">
        <v>0</v>
      </c>
      <c r="AQ109" s="29">
        <v>0</v>
      </c>
      <c r="AR109" s="191">
        <f t="shared" si="25"/>
        <v>0</v>
      </c>
      <c r="AS109" s="191">
        <f t="shared" si="26"/>
        <v>0</v>
      </c>
      <c r="AT109" s="29">
        <v>0</v>
      </c>
      <c r="AU109" s="29">
        <v>0</v>
      </c>
      <c r="AV109" s="29">
        <v>0</v>
      </c>
      <c r="AW109" s="29">
        <v>0</v>
      </c>
      <c r="AX109" s="29">
        <v>0</v>
      </c>
      <c r="AY109" s="29">
        <v>0</v>
      </c>
      <c r="AZ109" s="191">
        <f t="shared" si="27"/>
        <v>0</v>
      </c>
      <c r="BA109" s="29">
        <v>0</v>
      </c>
      <c r="BB109" s="29">
        <v>0</v>
      </c>
      <c r="BC109" s="29">
        <v>0</v>
      </c>
      <c r="BD109" s="29">
        <v>0</v>
      </c>
      <c r="BE109" s="29">
        <v>0</v>
      </c>
      <c r="BF109" s="29">
        <v>0</v>
      </c>
      <c r="BG109" s="29">
        <v>0</v>
      </c>
      <c r="BH109" s="29">
        <v>0</v>
      </c>
      <c r="BI109" s="29">
        <v>0</v>
      </c>
      <c r="BJ109" s="191">
        <f t="shared" si="28"/>
        <v>0</v>
      </c>
      <c r="BK109" s="191">
        <f t="shared" si="29"/>
        <v>0</v>
      </c>
      <c r="BL109" s="191">
        <f>$BO$9+SUMPRODUCT($D$10:D109,$BK$10:BK109)</f>
        <v>-10916570.530933687</v>
      </c>
      <c r="BM109" s="30">
        <f t="shared" si="30"/>
        <v>6</v>
      </c>
      <c r="BN109" s="191">
        <f t="shared" si="33"/>
        <v>23792483.402059998</v>
      </c>
      <c r="BO109" s="192">
        <f t="shared" si="31"/>
        <v>420333873.43641001</v>
      </c>
      <c r="BP109" s="41">
        <f t="shared" si="34"/>
        <v>0</v>
      </c>
      <c r="BQ109" s="41">
        <f t="shared" si="35"/>
        <v>0</v>
      </c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>
      <c r="A110" s="193">
        <f t="shared" si="39"/>
        <v>101</v>
      </c>
      <c r="B110" s="194">
        <f t="shared" si="39"/>
        <v>2119</v>
      </c>
      <c r="C110" s="29">
        <v>6</v>
      </c>
      <c r="D110" s="191">
        <f t="shared" si="36"/>
        <v>2.7599999999999999E-3</v>
      </c>
      <c r="E110" s="29">
        <v>0</v>
      </c>
      <c r="F110" s="191">
        <f t="shared" si="38"/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191">
        <f t="shared" si="21"/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191">
        <f t="shared" si="22"/>
        <v>0</v>
      </c>
      <c r="V110" s="29">
        <v>0</v>
      </c>
      <c r="W110" s="29">
        <v>0</v>
      </c>
      <c r="X110" s="29">
        <v>0</v>
      </c>
      <c r="Y110" s="29">
        <v>0</v>
      </c>
      <c r="Z110" s="29">
        <v>0</v>
      </c>
      <c r="AA110" s="29">
        <v>0</v>
      </c>
      <c r="AB110" s="29">
        <v>0</v>
      </c>
      <c r="AC110" s="191">
        <f t="shared" si="23"/>
        <v>0</v>
      </c>
      <c r="AD110" s="29">
        <v>0</v>
      </c>
      <c r="AE110" s="29">
        <v>0</v>
      </c>
      <c r="AF110" s="29">
        <v>0</v>
      </c>
      <c r="AG110" s="29">
        <v>0</v>
      </c>
      <c r="AH110" s="191">
        <f t="shared" si="24"/>
        <v>0</v>
      </c>
      <c r="AI110" s="29">
        <v>0</v>
      </c>
      <c r="AJ110" s="29">
        <v>0</v>
      </c>
      <c r="AK110" s="29">
        <v>0</v>
      </c>
      <c r="AL110" s="29">
        <v>0</v>
      </c>
      <c r="AM110" s="29">
        <v>0</v>
      </c>
      <c r="AN110" s="29">
        <v>0</v>
      </c>
      <c r="AO110" s="29">
        <v>0</v>
      </c>
      <c r="AP110" s="29">
        <v>0</v>
      </c>
      <c r="AQ110" s="29">
        <v>0</v>
      </c>
      <c r="AR110" s="191">
        <f t="shared" si="25"/>
        <v>0</v>
      </c>
      <c r="AS110" s="191">
        <f t="shared" si="26"/>
        <v>0</v>
      </c>
      <c r="AT110" s="29">
        <v>0</v>
      </c>
      <c r="AU110" s="29">
        <v>0</v>
      </c>
      <c r="AV110" s="29">
        <v>0</v>
      </c>
      <c r="AW110" s="29">
        <v>0</v>
      </c>
      <c r="AX110" s="29">
        <v>0</v>
      </c>
      <c r="AY110" s="29">
        <v>0</v>
      </c>
      <c r="AZ110" s="191">
        <f t="shared" si="27"/>
        <v>0</v>
      </c>
      <c r="BA110" s="29">
        <v>0</v>
      </c>
      <c r="BB110" s="29">
        <v>0</v>
      </c>
      <c r="BC110" s="29">
        <v>0</v>
      </c>
      <c r="BD110" s="29">
        <v>0</v>
      </c>
      <c r="BE110" s="29">
        <v>0</v>
      </c>
      <c r="BF110" s="29">
        <v>0</v>
      </c>
      <c r="BG110" s="29">
        <v>0</v>
      </c>
      <c r="BH110" s="29">
        <v>0</v>
      </c>
      <c r="BI110" s="29">
        <v>0</v>
      </c>
      <c r="BJ110" s="191">
        <f t="shared" si="28"/>
        <v>0</v>
      </c>
      <c r="BK110" s="191">
        <f t="shared" si="29"/>
        <v>0</v>
      </c>
      <c r="BL110" s="191">
        <f>$BO$9+SUMPRODUCT($D$10:D110,$BK$10:BK110)</f>
        <v>-10916570.530933687</v>
      </c>
      <c r="BM110" s="30">
        <f t="shared" si="30"/>
        <v>6</v>
      </c>
      <c r="BN110" s="191">
        <f t="shared" si="33"/>
        <v>25220032.406180002</v>
      </c>
      <c r="BO110" s="192">
        <f t="shared" si="31"/>
        <v>445553905.84258997</v>
      </c>
      <c r="BP110" s="41">
        <f t="shared" si="34"/>
        <v>0</v>
      </c>
      <c r="BQ110" s="41">
        <f t="shared" si="35"/>
        <v>0</v>
      </c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>
      <c r="A111" s="193">
        <f t="shared" si="39"/>
        <v>102</v>
      </c>
      <c r="B111" s="194">
        <f t="shared" si="39"/>
        <v>2120</v>
      </c>
      <c r="C111" s="29">
        <v>6</v>
      </c>
      <c r="D111" s="191">
        <f t="shared" si="36"/>
        <v>2.5999999999999999E-3</v>
      </c>
      <c r="E111" s="29">
        <v>0</v>
      </c>
      <c r="F111" s="191">
        <f t="shared" si="38"/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191">
        <f t="shared" si="21"/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191">
        <f t="shared" si="22"/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0</v>
      </c>
      <c r="AA111" s="29">
        <v>0</v>
      </c>
      <c r="AB111" s="29">
        <v>0</v>
      </c>
      <c r="AC111" s="191">
        <f t="shared" si="23"/>
        <v>0</v>
      </c>
      <c r="AD111" s="29">
        <v>0</v>
      </c>
      <c r="AE111" s="29">
        <v>0</v>
      </c>
      <c r="AF111" s="29">
        <v>0</v>
      </c>
      <c r="AG111" s="29">
        <v>0</v>
      </c>
      <c r="AH111" s="191">
        <f t="shared" si="24"/>
        <v>0</v>
      </c>
      <c r="AI111" s="29">
        <v>0</v>
      </c>
      <c r="AJ111" s="29">
        <v>0</v>
      </c>
      <c r="AK111" s="29">
        <v>0</v>
      </c>
      <c r="AL111" s="29">
        <v>0</v>
      </c>
      <c r="AM111" s="29">
        <v>0</v>
      </c>
      <c r="AN111" s="29">
        <v>0</v>
      </c>
      <c r="AO111" s="29">
        <v>0</v>
      </c>
      <c r="AP111" s="29">
        <v>0</v>
      </c>
      <c r="AQ111" s="29">
        <v>0</v>
      </c>
      <c r="AR111" s="191">
        <f t="shared" si="25"/>
        <v>0</v>
      </c>
      <c r="AS111" s="191">
        <f t="shared" si="26"/>
        <v>0</v>
      </c>
      <c r="AT111" s="29">
        <v>0</v>
      </c>
      <c r="AU111" s="29">
        <v>0</v>
      </c>
      <c r="AV111" s="29">
        <v>0</v>
      </c>
      <c r="AW111" s="29">
        <v>0</v>
      </c>
      <c r="AX111" s="29">
        <v>0</v>
      </c>
      <c r="AY111" s="29">
        <v>0</v>
      </c>
      <c r="AZ111" s="191">
        <f t="shared" si="27"/>
        <v>0</v>
      </c>
      <c r="BA111" s="29">
        <v>0</v>
      </c>
      <c r="BB111" s="29">
        <v>0</v>
      </c>
      <c r="BC111" s="29">
        <v>0</v>
      </c>
      <c r="BD111" s="29">
        <v>0</v>
      </c>
      <c r="BE111" s="29">
        <v>0</v>
      </c>
      <c r="BF111" s="29">
        <v>0</v>
      </c>
      <c r="BG111" s="29">
        <v>0</v>
      </c>
      <c r="BH111" s="29">
        <v>0</v>
      </c>
      <c r="BI111" s="29">
        <v>0</v>
      </c>
      <c r="BJ111" s="191">
        <f t="shared" si="28"/>
        <v>0</v>
      </c>
      <c r="BK111" s="191">
        <f t="shared" si="29"/>
        <v>0</v>
      </c>
      <c r="BL111" s="191">
        <f>$BO$9+SUMPRODUCT($D$10:D111,$BK$10:BK111)</f>
        <v>-10916570.530933687</v>
      </c>
      <c r="BM111" s="30">
        <f t="shared" si="30"/>
        <v>6</v>
      </c>
      <c r="BN111" s="191">
        <f t="shared" si="33"/>
        <v>26733234.350559998</v>
      </c>
      <c r="BO111" s="192">
        <f t="shared" si="31"/>
        <v>472287140.19314998</v>
      </c>
      <c r="BP111" s="41">
        <f t="shared" si="34"/>
        <v>0</v>
      </c>
      <c r="BQ111" s="41">
        <f t="shared" si="35"/>
        <v>0</v>
      </c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>
      <c r="A112" s="193">
        <f t="shared" si="39"/>
        <v>103</v>
      </c>
      <c r="B112" s="194">
        <f t="shared" si="39"/>
        <v>2121</v>
      </c>
      <c r="C112" s="29">
        <v>6</v>
      </c>
      <c r="D112" s="191">
        <f t="shared" si="36"/>
        <v>2.4499999999999999E-3</v>
      </c>
      <c r="E112" s="29">
        <v>0</v>
      </c>
      <c r="F112" s="191">
        <f t="shared" si="38"/>
        <v>0</v>
      </c>
      <c r="G112" s="29">
        <v>0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191">
        <f t="shared" si="21"/>
        <v>0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  <c r="U112" s="191">
        <f t="shared" si="22"/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0</v>
      </c>
      <c r="AA112" s="29">
        <v>0</v>
      </c>
      <c r="AB112" s="29">
        <v>0</v>
      </c>
      <c r="AC112" s="191">
        <f t="shared" si="23"/>
        <v>0</v>
      </c>
      <c r="AD112" s="29">
        <v>0</v>
      </c>
      <c r="AE112" s="29">
        <v>0</v>
      </c>
      <c r="AF112" s="29">
        <v>0</v>
      </c>
      <c r="AG112" s="29">
        <v>0</v>
      </c>
      <c r="AH112" s="191">
        <f t="shared" si="24"/>
        <v>0</v>
      </c>
      <c r="AI112" s="29">
        <v>0</v>
      </c>
      <c r="AJ112" s="29">
        <v>0</v>
      </c>
      <c r="AK112" s="29">
        <v>0</v>
      </c>
      <c r="AL112" s="29">
        <v>0</v>
      </c>
      <c r="AM112" s="29">
        <v>0</v>
      </c>
      <c r="AN112" s="29">
        <v>0</v>
      </c>
      <c r="AO112" s="29">
        <v>0</v>
      </c>
      <c r="AP112" s="29">
        <v>0</v>
      </c>
      <c r="AQ112" s="29">
        <v>0</v>
      </c>
      <c r="AR112" s="191">
        <f t="shared" si="25"/>
        <v>0</v>
      </c>
      <c r="AS112" s="191">
        <f t="shared" si="26"/>
        <v>0</v>
      </c>
      <c r="AT112" s="29">
        <v>0</v>
      </c>
      <c r="AU112" s="29">
        <v>0</v>
      </c>
      <c r="AV112" s="29">
        <v>0</v>
      </c>
      <c r="AW112" s="29">
        <v>0</v>
      </c>
      <c r="AX112" s="29">
        <v>0</v>
      </c>
      <c r="AY112" s="29">
        <v>0</v>
      </c>
      <c r="AZ112" s="191">
        <f t="shared" si="27"/>
        <v>0</v>
      </c>
      <c r="BA112" s="29">
        <v>0</v>
      </c>
      <c r="BB112" s="29">
        <v>0</v>
      </c>
      <c r="BC112" s="29">
        <v>0</v>
      </c>
      <c r="BD112" s="29">
        <v>0</v>
      </c>
      <c r="BE112" s="29">
        <v>0</v>
      </c>
      <c r="BF112" s="29">
        <v>0</v>
      </c>
      <c r="BG112" s="29">
        <v>0</v>
      </c>
      <c r="BH112" s="29">
        <v>0</v>
      </c>
      <c r="BI112" s="29">
        <v>0</v>
      </c>
      <c r="BJ112" s="191">
        <f t="shared" si="28"/>
        <v>0</v>
      </c>
      <c r="BK112" s="191">
        <f t="shared" si="29"/>
        <v>0</v>
      </c>
      <c r="BL112" s="191">
        <f>$BO$9+SUMPRODUCT($D$10:D112,$BK$10:BK112)</f>
        <v>-10916570.530933687</v>
      </c>
      <c r="BM112" s="30">
        <f t="shared" si="30"/>
        <v>6</v>
      </c>
      <c r="BN112" s="191">
        <f t="shared" si="33"/>
        <v>28337228.411589999</v>
      </c>
      <c r="BO112" s="192">
        <f t="shared" si="31"/>
        <v>500624368.60474002</v>
      </c>
      <c r="BP112" s="41">
        <f t="shared" si="34"/>
        <v>0</v>
      </c>
      <c r="BQ112" s="41">
        <f t="shared" si="35"/>
        <v>0</v>
      </c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>
      <c r="A113" s="193">
        <f t="shared" si="39"/>
        <v>104</v>
      </c>
      <c r="B113" s="194">
        <f t="shared" si="39"/>
        <v>2122</v>
      </c>
      <c r="C113" s="29">
        <v>6</v>
      </c>
      <c r="D113" s="191">
        <f t="shared" si="36"/>
        <v>2.31E-3</v>
      </c>
      <c r="E113" s="29">
        <v>0</v>
      </c>
      <c r="F113" s="191">
        <f t="shared" si="38"/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191">
        <f t="shared" si="21"/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191">
        <f t="shared" si="22"/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191">
        <f t="shared" si="23"/>
        <v>0</v>
      </c>
      <c r="AD113" s="29">
        <v>0</v>
      </c>
      <c r="AE113" s="29">
        <v>0</v>
      </c>
      <c r="AF113" s="29">
        <v>0</v>
      </c>
      <c r="AG113" s="29">
        <v>0</v>
      </c>
      <c r="AH113" s="191">
        <f t="shared" si="24"/>
        <v>0</v>
      </c>
      <c r="AI113" s="29">
        <v>0</v>
      </c>
      <c r="AJ113" s="29">
        <v>0</v>
      </c>
      <c r="AK113" s="29">
        <v>0</v>
      </c>
      <c r="AL113" s="29">
        <v>0</v>
      </c>
      <c r="AM113" s="29">
        <v>0</v>
      </c>
      <c r="AN113" s="29">
        <v>0</v>
      </c>
      <c r="AO113" s="29">
        <v>0</v>
      </c>
      <c r="AP113" s="29">
        <v>0</v>
      </c>
      <c r="AQ113" s="29">
        <v>0</v>
      </c>
      <c r="AR113" s="191">
        <f t="shared" si="25"/>
        <v>0</v>
      </c>
      <c r="AS113" s="191">
        <f t="shared" si="26"/>
        <v>0</v>
      </c>
      <c r="AT113" s="29">
        <v>0</v>
      </c>
      <c r="AU113" s="29">
        <v>0</v>
      </c>
      <c r="AV113" s="29">
        <v>0</v>
      </c>
      <c r="AW113" s="29">
        <v>0</v>
      </c>
      <c r="AX113" s="29">
        <v>0</v>
      </c>
      <c r="AY113" s="29">
        <v>0</v>
      </c>
      <c r="AZ113" s="191">
        <f t="shared" si="27"/>
        <v>0</v>
      </c>
      <c r="BA113" s="29">
        <v>0</v>
      </c>
      <c r="BB113" s="29">
        <v>0</v>
      </c>
      <c r="BC113" s="29">
        <v>0</v>
      </c>
      <c r="BD113" s="29">
        <v>0</v>
      </c>
      <c r="BE113" s="29">
        <v>0</v>
      </c>
      <c r="BF113" s="29">
        <v>0</v>
      </c>
      <c r="BG113" s="29">
        <v>0</v>
      </c>
      <c r="BH113" s="29">
        <v>0</v>
      </c>
      <c r="BI113" s="29">
        <v>0</v>
      </c>
      <c r="BJ113" s="191">
        <f t="shared" si="28"/>
        <v>0</v>
      </c>
      <c r="BK113" s="191">
        <f t="shared" si="29"/>
        <v>0</v>
      </c>
      <c r="BL113" s="191">
        <f>$BO$9+SUMPRODUCT($D$10:D113,$BK$10:BK113)</f>
        <v>-10916570.530933687</v>
      </c>
      <c r="BM113" s="30">
        <f t="shared" si="30"/>
        <v>6</v>
      </c>
      <c r="BN113" s="191">
        <f t="shared" si="33"/>
        <v>30037462.116280001</v>
      </c>
      <c r="BO113" s="192">
        <f t="shared" si="31"/>
        <v>530661830.72101998</v>
      </c>
      <c r="BP113" s="41">
        <f t="shared" si="34"/>
        <v>0</v>
      </c>
      <c r="BQ113" s="41">
        <f t="shared" si="35"/>
        <v>0</v>
      </c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>
      <c r="A114" s="193">
        <f t="shared" si="39"/>
        <v>105</v>
      </c>
      <c r="B114" s="194">
        <f t="shared" si="39"/>
        <v>2123</v>
      </c>
      <c r="C114" s="29">
        <v>6</v>
      </c>
      <c r="D114" s="191">
        <f t="shared" si="36"/>
        <v>2.1800000000000001E-3</v>
      </c>
      <c r="E114" s="29">
        <v>0</v>
      </c>
      <c r="F114" s="191">
        <f t="shared" si="38"/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191">
        <f t="shared" si="21"/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191">
        <f t="shared" si="22"/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191">
        <f t="shared" si="23"/>
        <v>0</v>
      </c>
      <c r="AD114" s="29">
        <v>0</v>
      </c>
      <c r="AE114" s="29">
        <v>0</v>
      </c>
      <c r="AF114" s="29">
        <v>0</v>
      </c>
      <c r="AG114" s="29">
        <v>0</v>
      </c>
      <c r="AH114" s="191">
        <f t="shared" si="24"/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191">
        <f t="shared" si="25"/>
        <v>0</v>
      </c>
      <c r="AS114" s="191">
        <f t="shared" si="26"/>
        <v>0</v>
      </c>
      <c r="AT114" s="29">
        <v>0</v>
      </c>
      <c r="AU114" s="29">
        <v>0</v>
      </c>
      <c r="AV114" s="29">
        <v>0</v>
      </c>
      <c r="AW114" s="29">
        <v>0</v>
      </c>
      <c r="AX114" s="29">
        <v>0</v>
      </c>
      <c r="AY114" s="29">
        <v>0</v>
      </c>
      <c r="AZ114" s="191">
        <f t="shared" si="27"/>
        <v>0</v>
      </c>
      <c r="BA114" s="29">
        <v>0</v>
      </c>
      <c r="BB114" s="29">
        <v>0</v>
      </c>
      <c r="BC114" s="29">
        <v>0</v>
      </c>
      <c r="BD114" s="29">
        <v>0</v>
      </c>
      <c r="BE114" s="29">
        <v>0</v>
      </c>
      <c r="BF114" s="29">
        <v>0</v>
      </c>
      <c r="BG114" s="29">
        <v>0</v>
      </c>
      <c r="BH114" s="29">
        <v>0</v>
      </c>
      <c r="BI114" s="29">
        <v>0</v>
      </c>
      <c r="BJ114" s="191">
        <f t="shared" si="28"/>
        <v>0</v>
      </c>
      <c r="BK114" s="191">
        <f t="shared" si="29"/>
        <v>0</v>
      </c>
      <c r="BL114" s="191">
        <f>$BO$9+SUMPRODUCT($D$10:D114,$BK$10:BK114)</f>
        <v>-10916570.530933687</v>
      </c>
      <c r="BM114" s="30">
        <f t="shared" si="30"/>
        <v>6</v>
      </c>
      <c r="BN114" s="191">
        <f t="shared" si="33"/>
        <v>31839709.843260001</v>
      </c>
      <c r="BO114" s="192">
        <f t="shared" si="31"/>
        <v>562501540.56428003</v>
      </c>
      <c r="BP114" s="41">
        <f t="shared" si="34"/>
        <v>0</v>
      </c>
      <c r="BQ114" s="41">
        <f t="shared" si="35"/>
        <v>0</v>
      </c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>
      <c r="A115" s="193">
        <f t="shared" si="39"/>
        <v>106</v>
      </c>
      <c r="B115" s="194">
        <f t="shared" si="39"/>
        <v>2124</v>
      </c>
      <c r="C115" s="29">
        <v>6</v>
      </c>
      <c r="D115" s="191">
        <f t="shared" si="36"/>
        <v>2.0600000000000002E-3</v>
      </c>
      <c r="E115" s="29">
        <v>0</v>
      </c>
      <c r="F115" s="191">
        <f t="shared" si="38"/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191">
        <f t="shared" si="21"/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191">
        <f t="shared" si="22"/>
        <v>0</v>
      </c>
      <c r="V115" s="29">
        <v>0</v>
      </c>
      <c r="W115" s="29">
        <v>0</v>
      </c>
      <c r="X115" s="29">
        <v>0</v>
      </c>
      <c r="Y115" s="29">
        <v>0</v>
      </c>
      <c r="Z115" s="29">
        <v>0</v>
      </c>
      <c r="AA115" s="29">
        <v>0</v>
      </c>
      <c r="AB115" s="29">
        <v>0</v>
      </c>
      <c r="AC115" s="191">
        <f t="shared" si="23"/>
        <v>0</v>
      </c>
      <c r="AD115" s="29">
        <v>0</v>
      </c>
      <c r="AE115" s="29">
        <v>0</v>
      </c>
      <c r="AF115" s="29">
        <v>0</v>
      </c>
      <c r="AG115" s="29">
        <v>0</v>
      </c>
      <c r="AH115" s="191">
        <f t="shared" si="24"/>
        <v>0</v>
      </c>
      <c r="AI115" s="29">
        <v>0</v>
      </c>
      <c r="AJ115" s="29">
        <v>0</v>
      </c>
      <c r="AK115" s="29">
        <v>0</v>
      </c>
      <c r="AL115" s="29">
        <v>0</v>
      </c>
      <c r="AM115" s="29">
        <v>0</v>
      </c>
      <c r="AN115" s="29">
        <v>0</v>
      </c>
      <c r="AO115" s="29">
        <v>0</v>
      </c>
      <c r="AP115" s="29">
        <v>0</v>
      </c>
      <c r="AQ115" s="29">
        <v>0</v>
      </c>
      <c r="AR115" s="191">
        <f t="shared" si="25"/>
        <v>0</v>
      </c>
      <c r="AS115" s="191">
        <f t="shared" si="26"/>
        <v>0</v>
      </c>
      <c r="AT115" s="29">
        <v>0</v>
      </c>
      <c r="AU115" s="29">
        <v>0</v>
      </c>
      <c r="AV115" s="29">
        <v>0</v>
      </c>
      <c r="AW115" s="29">
        <v>0</v>
      </c>
      <c r="AX115" s="29">
        <v>0</v>
      </c>
      <c r="AY115" s="29">
        <v>0</v>
      </c>
      <c r="AZ115" s="191">
        <f t="shared" si="27"/>
        <v>0</v>
      </c>
      <c r="BA115" s="29">
        <v>0</v>
      </c>
      <c r="BB115" s="29">
        <v>0</v>
      </c>
      <c r="BC115" s="29">
        <v>0</v>
      </c>
      <c r="BD115" s="29">
        <v>0</v>
      </c>
      <c r="BE115" s="29">
        <v>0</v>
      </c>
      <c r="BF115" s="29">
        <v>0</v>
      </c>
      <c r="BG115" s="29">
        <v>0</v>
      </c>
      <c r="BH115" s="29">
        <v>0</v>
      </c>
      <c r="BI115" s="29">
        <v>0</v>
      </c>
      <c r="BJ115" s="191">
        <f t="shared" si="28"/>
        <v>0</v>
      </c>
      <c r="BK115" s="191">
        <f t="shared" si="29"/>
        <v>0</v>
      </c>
      <c r="BL115" s="191">
        <f>$BO$9+SUMPRODUCT($D$10:D115,$BK$10:BK115)</f>
        <v>-10916570.530933687</v>
      </c>
      <c r="BM115" s="30">
        <f t="shared" si="30"/>
        <v>6</v>
      </c>
      <c r="BN115" s="191">
        <f t="shared" si="33"/>
        <v>33750092.433859996</v>
      </c>
      <c r="BO115" s="192">
        <f t="shared" si="31"/>
        <v>596251632.99813998</v>
      </c>
      <c r="BP115" s="41">
        <f t="shared" si="34"/>
        <v>0</v>
      </c>
      <c r="BQ115" s="41">
        <f t="shared" si="35"/>
        <v>0</v>
      </c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>
      <c r="A116" s="193">
        <f t="shared" si="39"/>
        <v>107</v>
      </c>
      <c r="B116" s="194">
        <f t="shared" si="39"/>
        <v>2125</v>
      </c>
      <c r="C116" s="29">
        <v>6</v>
      </c>
      <c r="D116" s="191">
        <f t="shared" si="36"/>
        <v>1.9400000000000001E-3</v>
      </c>
      <c r="E116" s="29">
        <v>0</v>
      </c>
      <c r="F116" s="191">
        <f t="shared" si="38"/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191">
        <f t="shared" si="21"/>
        <v>0</v>
      </c>
      <c r="N116" s="29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191">
        <f t="shared" si="22"/>
        <v>0</v>
      </c>
      <c r="V116" s="29">
        <v>0</v>
      </c>
      <c r="W116" s="29">
        <v>0</v>
      </c>
      <c r="X116" s="29">
        <v>0</v>
      </c>
      <c r="Y116" s="29">
        <v>0</v>
      </c>
      <c r="Z116" s="29">
        <v>0</v>
      </c>
      <c r="AA116" s="29">
        <v>0</v>
      </c>
      <c r="AB116" s="29">
        <v>0</v>
      </c>
      <c r="AC116" s="191">
        <f t="shared" si="23"/>
        <v>0</v>
      </c>
      <c r="AD116" s="29">
        <v>0</v>
      </c>
      <c r="AE116" s="29">
        <v>0</v>
      </c>
      <c r="AF116" s="29">
        <v>0</v>
      </c>
      <c r="AG116" s="29">
        <v>0</v>
      </c>
      <c r="AH116" s="191">
        <f t="shared" si="24"/>
        <v>0</v>
      </c>
      <c r="AI116" s="29">
        <v>0</v>
      </c>
      <c r="AJ116" s="29">
        <v>0</v>
      </c>
      <c r="AK116" s="29">
        <v>0</v>
      </c>
      <c r="AL116" s="29">
        <v>0</v>
      </c>
      <c r="AM116" s="29">
        <v>0</v>
      </c>
      <c r="AN116" s="29">
        <v>0</v>
      </c>
      <c r="AO116" s="29">
        <v>0</v>
      </c>
      <c r="AP116" s="29">
        <v>0</v>
      </c>
      <c r="AQ116" s="29">
        <v>0</v>
      </c>
      <c r="AR116" s="191">
        <f t="shared" si="25"/>
        <v>0</v>
      </c>
      <c r="AS116" s="191">
        <f t="shared" si="26"/>
        <v>0</v>
      </c>
      <c r="AT116" s="29">
        <v>0</v>
      </c>
      <c r="AU116" s="29">
        <v>0</v>
      </c>
      <c r="AV116" s="29">
        <v>0</v>
      </c>
      <c r="AW116" s="29">
        <v>0</v>
      </c>
      <c r="AX116" s="29">
        <v>0</v>
      </c>
      <c r="AY116" s="29">
        <v>0</v>
      </c>
      <c r="AZ116" s="191">
        <f t="shared" si="27"/>
        <v>0</v>
      </c>
      <c r="BA116" s="29">
        <v>0</v>
      </c>
      <c r="BB116" s="29">
        <v>0</v>
      </c>
      <c r="BC116" s="29">
        <v>0</v>
      </c>
      <c r="BD116" s="29">
        <v>0</v>
      </c>
      <c r="BE116" s="29">
        <v>0</v>
      </c>
      <c r="BF116" s="29">
        <v>0</v>
      </c>
      <c r="BG116" s="29">
        <v>0</v>
      </c>
      <c r="BH116" s="29">
        <v>0</v>
      </c>
      <c r="BI116" s="29">
        <v>0</v>
      </c>
      <c r="BJ116" s="191">
        <f t="shared" si="28"/>
        <v>0</v>
      </c>
      <c r="BK116" s="191">
        <f t="shared" si="29"/>
        <v>0</v>
      </c>
      <c r="BL116" s="191">
        <f>$BO$9+SUMPRODUCT($D$10:D116,$BK$10:BK116)</f>
        <v>-10916570.530933687</v>
      </c>
      <c r="BM116" s="30">
        <f t="shared" si="30"/>
        <v>6</v>
      </c>
      <c r="BN116" s="191">
        <f t="shared" si="33"/>
        <v>35775097.979889996</v>
      </c>
      <c r="BO116" s="192">
        <f t="shared" si="31"/>
        <v>632026730.97802997</v>
      </c>
      <c r="BP116" s="41">
        <f t="shared" si="34"/>
        <v>0</v>
      </c>
      <c r="BQ116" s="41">
        <f t="shared" si="35"/>
        <v>0</v>
      </c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>
      <c r="A117" s="193">
        <f t="shared" si="39"/>
        <v>108</v>
      </c>
      <c r="B117" s="194">
        <f t="shared" si="39"/>
        <v>2126</v>
      </c>
      <c r="C117" s="29">
        <v>6</v>
      </c>
      <c r="D117" s="191">
        <f t="shared" si="36"/>
        <v>1.83E-3</v>
      </c>
      <c r="E117" s="29">
        <v>0</v>
      </c>
      <c r="F117" s="191">
        <f t="shared" si="38"/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191">
        <f t="shared" si="21"/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191">
        <f t="shared" si="22"/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191">
        <f t="shared" si="23"/>
        <v>0</v>
      </c>
      <c r="AD117" s="29">
        <v>0</v>
      </c>
      <c r="AE117" s="29">
        <v>0</v>
      </c>
      <c r="AF117" s="29">
        <v>0</v>
      </c>
      <c r="AG117" s="29">
        <v>0</v>
      </c>
      <c r="AH117" s="191">
        <f t="shared" si="24"/>
        <v>0</v>
      </c>
      <c r="AI117" s="29">
        <v>0</v>
      </c>
      <c r="AJ117" s="29">
        <v>0</v>
      </c>
      <c r="AK117" s="29">
        <v>0</v>
      </c>
      <c r="AL117" s="29">
        <v>0</v>
      </c>
      <c r="AM117" s="29">
        <v>0</v>
      </c>
      <c r="AN117" s="29">
        <v>0</v>
      </c>
      <c r="AO117" s="29">
        <v>0</v>
      </c>
      <c r="AP117" s="29">
        <v>0</v>
      </c>
      <c r="AQ117" s="29">
        <v>0</v>
      </c>
      <c r="AR117" s="191">
        <f t="shared" si="25"/>
        <v>0</v>
      </c>
      <c r="AS117" s="191">
        <f t="shared" si="26"/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191">
        <f t="shared" si="27"/>
        <v>0</v>
      </c>
      <c r="BA117" s="29">
        <v>0</v>
      </c>
      <c r="BB117" s="29">
        <v>0</v>
      </c>
      <c r="BC117" s="29">
        <v>0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0</v>
      </c>
      <c r="BJ117" s="191">
        <f t="shared" si="28"/>
        <v>0</v>
      </c>
      <c r="BK117" s="191">
        <f t="shared" si="29"/>
        <v>0</v>
      </c>
      <c r="BL117" s="191">
        <f>$BO$9+SUMPRODUCT($D$10:D117,$BK$10:BK117)</f>
        <v>-10916570.530933687</v>
      </c>
      <c r="BM117" s="30">
        <f t="shared" si="30"/>
        <v>6</v>
      </c>
      <c r="BN117" s="191">
        <f t="shared" si="33"/>
        <v>37921603.858680002</v>
      </c>
      <c r="BO117" s="192">
        <f t="shared" si="31"/>
        <v>669948334.83670998</v>
      </c>
      <c r="BP117" s="41">
        <f t="shared" si="34"/>
        <v>0</v>
      </c>
      <c r="BQ117" s="41">
        <f t="shared" si="35"/>
        <v>0</v>
      </c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>
      <c r="A118" s="193">
        <f t="shared" si="39"/>
        <v>109</v>
      </c>
      <c r="B118" s="194">
        <f t="shared" si="39"/>
        <v>2127</v>
      </c>
      <c r="C118" s="29">
        <v>6</v>
      </c>
      <c r="D118" s="191">
        <f t="shared" si="36"/>
        <v>1.73E-3</v>
      </c>
      <c r="E118" s="29">
        <v>0</v>
      </c>
      <c r="F118" s="191">
        <f t="shared" si="38"/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191">
        <f t="shared" si="21"/>
        <v>0</v>
      </c>
      <c r="N118" s="29">
        <v>0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191">
        <f t="shared" si="22"/>
        <v>0</v>
      </c>
      <c r="V118" s="29">
        <v>0</v>
      </c>
      <c r="W118" s="29">
        <v>0</v>
      </c>
      <c r="X118" s="29">
        <v>0</v>
      </c>
      <c r="Y118" s="29">
        <v>0</v>
      </c>
      <c r="Z118" s="29">
        <v>0</v>
      </c>
      <c r="AA118" s="29">
        <v>0</v>
      </c>
      <c r="AB118" s="29">
        <v>0</v>
      </c>
      <c r="AC118" s="191">
        <f t="shared" si="23"/>
        <v>0</v>
      </c>
      <c r="AD118" s="29">
        <v>0</v>
      </c>
      <c r="AE118" s="29">
        <v>0</v>
      </c>
      <c r="AF118" s="29">
        <v>0</v>
      </c>
      <c r="AG118" s="29">
        <v>0</v>
      </c>
      <c r="AH118" s="191">
        <f t="shared" si="24"/>
        <v>0</v>
      </c>
      <c r="AI118" s="29">
        <v>0</v>
      </c>
      <c r="AJ118" s="29">
        <v>0</v>
      </c>
      <c r="AK118" s="29">
        <v>0</v>
      </c>
      <c r="AL118" s="29">
        <v>0</v>
      </c>
      <c r="AM118" s="29">
        <v>0</v>
      </c>
      <c r="AN118" s="29">
        <v>0</v>
      </c>
      <c r="AO118" s="29">
        <v>0</v>
      </c>
      <c r="AP118" s="29">
        <v>0</v>
      </c>
      <c r="AQ118" s="29">
        <v>0</v>
      </c>
      <c r="AR118" s="191">
        <f t="shared" si="25"/>
        <v>0</v>
      </c>
      <c r="AS118" s="191">
        <f t="shared" si="26"/>
        <v>0</v>
      </c>
      <c r="AT118" s="29">
        <v>0</v>
      </c>
      <c r="AU118" s="29">
        <v>0</v>
      </c>
      <c r="AV118" s="29">
        <v>0</v>
      </c>
      <c r="AW118" s="29">
        <v>0</v>
      </c>
      <c r="AX118" s="29">
        <v>0</v>
      </c>
      <c r="AY118" s="29">
        <v>0</v>
      </c>
      <c r="AZ118" s="191">
        <f t="shared" si="27"/>
        <v>0</v>
      </c>
      <c r="BA118" s="29">
        <v>0</v>
      </c>
      <c r="BB118" s="29">
        <v>0</v>
      </c>
      <c r="BC118" s="29">
        <v>0</v>
      </c>
      <c r="BD118" s="29">
        <v>0</v>
      </c>
      <c r="BE118" s="29">
        <v>0</v>
      </c>
      <c r="BF118" s="29">
        <v>0</v>
      </c>
      <c r="BG118" s="29">
        <v>0</v>
      </c>
      <c r="BH118" s="29">
        <v>0</v>
      </c>
      <c r="BI118" s="29">
        <v>0</v>
      </c>
      <c r="BJ118" s="191">
        <f t="shared" si="28"/>
        <v>0</v>
      </c>
      <c r="BK118" s="191">
        <f t="shared" si="29"/>
        <v>0</v>
      </c>
      <c r="BL118" s="191">
        <f>$BO$9+SUMPRODUCT($D$10:D118,$BK$10:BK118)</f>
        <v>-10916570.530933687</v>
      </c>
      <c r="BM118" s="30">
        <f t="shared" si="30"/>
        <v>6</v>
      </c>
      <c r="BN118" s="191">
        <f t="shared" si="33"/>
        <v>40196900.0902</v>
      </c>
      <c r="BO118" s="192">
        <f t="shared" si="31"/>
        <v>710145234.92691004</v>
      </c>
      <c r="BP118" s="41">
        <f t="shared" si="34"/>
        <v>0</v>
      </c>
      <c r="BQ118" s="41">
        <f t="shared" si="35"/>
        <v>0</v>
      </c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>
      <c r="A119" s="193">
        <f t="shared" si="39"/>
        <v>110</v>
      </c>
      <c r="B119" s="194">
        <f t="shared" si="39"/>
        <v>2128</v>
      </c>
      <c r="C119" s="29">
        <v>6</v>
      </c>
      <c r="D119" s="191">
        <f t="shared" si="36"/>
        <v>1.6299999999999999E-3</v>
      </c>
      <c r="E119" s="29">
        <v>0</v>
      </c>
      <c r="F119" s="191">
        <f t="shared" si="38"/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191">
        <f t="shared" si="21"/>
        <v>0</v>
      </c>
      <c r="N119" s="29">
        <v>0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191">
        <f t="shared" si="22"/>
        <v>0</v>
      </c>
      <c r="V119" s="29">
        <v>0</v>
      </c>
      <c r="W119" s="29">
        <v>0</v>
      </c>
      <c r="X119" s="29">
        <v>0</v>
      </c>
      <c r="Y119" s="29">
        <v>0</v>
      </c>
      <c r="Z119" s="29">
        <v>0</v>
      </c>
      <c r="AA119" s="29">
        <v>0</v>
      </c>
      <c r="AB119" s="29">
        <v>0</v>
      </c>
      <c r="AC119" s="191">
        <f t="shared" si="23"/>
        <v>0</v>
      </c>
      <c r="AD119" s="29">
        <v>0</v>
      </c>
      <c r="AE119" s="29">
        <v>0</v>
      </c>
      <c r="AF119" s="29">
        <v>0</v>
      </c>
      <c r="AG119" s="29">
        <v>0</v>
      </c>
      <c r="AH119" s="191">
        <f t="shared" si="24"/>
        <v>0</v>
      </c>
      <c r="AI119" s="29">
        <v>0</v>
      </c>
      <c r="AJ119" s="29">
        <v>0</v>
      </c>
      <c r="AK119" s="29">
        <v>0</v>
      </c>
      <c r="AL119" s="29">
        <v>0</v>
      </c>
      <c r="AM119" s="29">
        <v>0</v>
      </c>
      <c r="AN119" s="29">
        <v>0</v>
      </c>
      <c r="AO119" s="29">
        <v>0</v>
      </c>
      <c r="AP119" s="29">
        <v>0</v>
      </c>
      <c r="AQ119" s="29">
        <v>0</v>
      </c>
      <c r="AR119" s="191">
        <f t="shared" si="25"/>
        <v>0</v>
      </c>
      <c r="AS119" s="191">
        <f t="shared" si="26"/>
        <v>0</v>
      </c>
      <c r="AT119" s="29">
        <v>0</v>
      </c>
      <c r="AU119" s="29">
        <v>0</v>
      </c>
      <c r="AV119" s="29">
        <v>0</v>
      </c>
      <c r="AW119" s="29">
        <v>0</v>
      </c>
      <c r="AX119" s="29">
        <v>0</v>
      </c>
      <c r="AY119" s="29">
        <v>0</v>
      </c>
      <c r="AZ119" s="191">
        <f t="shared" si="27"/>
        <v>0</v>
      </c>
      <c r="BA119" s="29">
        <v>0</v>
      </c>
      <c r="BB119" s="29">
        <v>0</v>
      </c>
      <c r="BC119" s="29">
        <v>0</v>
      </c>
      <c r="BD119" s="29">
        <v>0</v>
      </c>
      <c r="BE119" s="29">
        <v>0</v>
      </c>
      <c r="BF119" s="29">
        <v>0</v>
      </c>
      <c r="BG119" s="29">
        <v>0</v>
      </c>
      <c r="BH119" s="29">
        <v>0</v>
      </c>
      <c r="BI119" s="29">
        <v>0</v>
      </c>
      <c r="BJ119" s="191">
        <f t="shared" si="28"/>
        <v>0</v>
      </c>
      <c r="BK119" s="191">
        <f t="shared" si="29"/>
        <v>0</v>
      </c>
      <c r="BL119" s="191">
        <f>$BO$9+SUMPRODUCT($D$10:D119,$BK$10:BK119)</f>
        <v>-10916570.530933687</v>
      </c>
      <c r="BM119" s="30">
        <f t="shared" si="30"/>
        <v>6</v>
      </c>
      <c r="BN119" s="191">
        <f t="shared" si="33"/>
        <v>42608714.09561</v>
      </c>
      <c r="BO119" s="192">
        <f t="shared" si="31"/>
        <v>752753949.02251995</v>
      </c>
      <c r="BP119" s="41">
        <f t="shared" si="34"/>
        <v>0</v>
      </c>
      <c r="BQ119" s="41">
        <f t="shared" si="35"/>
        <v>0</v>
      </c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>
      <c r="A120" s="193">
        <f t="shared" si="39"/>
        <v>111</v>
      </c>
      <c r="B120" s="194">
        <f t="shared" si="39"/>
        <v>2129</v>
      </c>
      <c r="C120" s="29">
        <v>6</v>
      </c>
      <c r="D120" s="191">
        <f t="shared" si="36"/>
        <v>1.5399999999999999E-3</v>
      </c>
      <c r="E120" s="29">
        <v>0</v>
      </c>
      <c r="F120" s="191">
        <f t="shared" si="38"/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191">
        <f t="shared" si="21"/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191">
        <f t="shared" si="22"/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191">
        <f t="shared" si="23"/>
        <v>0</v>
      </c>
      <c r="AD120" s="29">
        <v>0</v>
      </c>
      <c r="AE120" s="29">
        <v>0</v>
      </c>
      <c r="AF120" s="29">
        <v>0</v>
      </c>
      <c r="AG120" s="29">
        <v>0</v>
      </c>
      <c r="AH120" s="191">
        <f t="shared" si="24"/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191">
        <f t="shared" si="25"/>
        <v>0</v>
      </c>
      <c r="AS120" s="191">
        <f t="shared" si="26"/>
        <v>0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191">
        <f t="shared" si="27"/>
        <v>0</v>
      </c>
      <c r="BA120" s="29">
        <v>0</v>
      </c>
      <c r="BB120" s="29">
        <v>0</v>
      </c>
      <c r="BC120" s="29">
        <v>0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</v>
      </c>
      <c r="BJ120" s="191">
        <f t="shared" si="28"/>
        <v>0</v>
      </c>
      <c r="BK120" s="191">
        <f t="shared" si="29"/>
        <v>0</v>
      </c>
      <c r="BL120" s="191">
        <f>$BO$9+SUMPRODUCT($D$10:D120,$BK$10:BK120)</f>
        <v>-10916570.530933687</v>
      </c>
      <c r="BM120" s="30">
        <f t="shared" si="30"/>
        <v>6</v>
      </c>
      <c r="BN120" s="191">
        <f t="shared" si="33"/>
        <v>45165236.941349998</v>
      </c>
      <c r="BO120" s="192">
        <f t="shared" si="31"/>
        <v>797919185.96387005</v>
      </c>
      <c r="BP120" s="41">
        <f t="shared" si="34"/>
        <v>0</v>
      </c>
      <c r="BQ120" s="41">
        <f t="shared" si="35"/>
        <v>0</v>
      </c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>
      <c r="A121" s="193">
        <f t="shared" si="39"/>
        <v>112</v>
      </c>
      <c r="B121" s="194">
        <f t="shared" si="39"/>
        <v>2130</v>
      </c>
      <c r="C121" s="29">
        <v>6</v>
      </c>
      <c r="D121" s="191">
        <f t="shared" si="36"/>
        <v>1.4499999999999999E-3</v>
      </c>
      <c r="E121" s="29">
        <v>0</v>
      </c>
      <c r="F121" s="191">
        <f t="shared" si="38"/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191">
        <f t="shared" si="21"/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191">
        <f t="shared" si="22"/>
        <v>0</v>
      </c>
      <c r="V121" s="29">
        <v>0</v>
      </c>
      <c r="W121" s="29">
        <v>0</v>
      </c>
      <c r="X121" s="29">
        <v>0</v>
      </c>
      <c r="Y121" s="29">
        <v>0</v>
      </c>
      <c r="Z121" s="29">
        <v>0</v>
      </c>
      <c r="AA121" s="29">
        <v>0</v>
      </c>
      <c r="AB121" s="29">
        <v>0</v>
      </c>
      <c r="AC121" s="191">
        <f t="shared" si="23"/>
        <v>0</v>
      </c>
      <c r="AD121" s="29">
        <v>0</v>
      </c>
      <c r="AE121" s="29">
        <v>0</v>
      </c>
      <c r="AF121" s="29">
        <v>0</v>
      </c>
      <c r="AG121" s="29">
        <v>0</v>
      </c>
      <c r="AH121" s="191">
        <f t="shared" si="24"/>
        <v>0</v>
      </c>
      <c r="AI121" s="29">
        <v>0</v>
      </c>
      <c r="AJ121" s="29">
        <v>0</v>
      </c>
      <c r="AK121" s="29">
        <v>0</v>
      </c>
      <c r="AL121" s="29">
        <v>0</v>
      </c>
      <c r="AM121" s="29">
        <v>0</v>
      </c>
      <c r="AN121" s="29">
        <v>0</v>
      </c>
      <c r="AO121" s="29">
        <v>0</v>
      </c>
      <c r="AP121" s="29">
        <v>0</v>
      </c>
      <c r="AQ121" s="29">
        <v>0</v>
      </c>
      <c r="AR121" s="191">
        <f t="shared" si="25"/>
        <v>0</v>
      </c>
      <c r="AS121" s="191">
        <f t="shared" si="26"/>
        <v>0</v>
      </c>
      <c r="AT121" s="29">
        <v>0</v>
      </c>
      <c r="AU121" s="29">
        <v>0</v>
      </c>
      <c r="AV121" s="29">
        <v>0</v>
      </c>
      <c r="AW121" s="29">
        <v>0</v>
      </c>
      <c r="AX121" s="29">
        <v>0</v>
      </c>
      <c r="AY121" s="29">
        <v>0</v>
      </c>
      <c r="AZ121" s="191">
        <f t="shared" si="27"/>
        <v>0</v>
      </c>
      <c r="BA121" s="29">
        <v>0</v>
      </c>
      <c r="BB121" s="29">
        <v>0</v>
      </c>
      <c r="BC121" s="29">
        <v>0</v>
      </c>
      <c r="BD121" s="29">
        <v>0</v>
      </c>
      <c r="BE121" s="29">
        <v>0</v>
      </c>
      <c r="BF121" s="29">
        <v>0</v>
      </c>
      <c r="BG121" s="29">
        <v>0</v>
      </c>
      <c r="BH121" s="29">
        <v>0</v>
      </c>
      <c r="BI121" s="29">
        <v>0</v>
      </c>
      <c r="BJ121" s="191">
        <f t="shared" si="28"/>
        <v>0</v>
      </c>
      <c r="BK121" s="191">
        <f t="shared" si="29"/>
        <v>0</v>
      </c>
      <c r="BL121" s="191">
        <f>$BO$9+SUMPRODUCT($D$10:D121,$BK$10:BK121)</f>
        <v>-10916570.530933687</v>
      </c>
      <c r="BM121" s="30">
        <f t="shared" si="30"/>
        <v>6</v>
      </c>
      <c r="BN121" s="191">
        <f t="shared" si="33"/>
        <v>47875151.15783</v>
      </c>
      <c r="BO121" s="192">
        <f t="shared" si="31"/>
        <v>845794337.12170005</v>
      </c>
      <c r="BP121" s="41">
        <f t="shared" si="34"/>
        <v>0</v>
      </c>
      <c r="BQ121" s="41">
        <f t="shared" si="35"/>
        <v>0</v>
      </c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>
      <c r="A122" s="193">
        <f t="shared" si="39"/>
        <v>113</v>
      </c>
      <c r="B122" s="194">
        <f t="shared" si="39"/>
        <v>2131</v>
      </c>
      <c r="C122" s="29">
        <v>6</v>
      </c>
      <c r="D122" s="191">
        <f t="shared" si="36"/>
        <v>1.3699999999999999E-3</v>
      </c>
      <c r="E122" s="29">
        <v>0</v>
      </c>
      <c r="F122" s="191">
        <f t="shared" si="38"/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191">
        <f t="shared" si="21"/>
        <v>0</v>
      </c>
      <c r="N122" s="29">
        <v>0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191">
        <f t="shared" si="22"/>
        <v>0</v>
      </c>
      <c r="V122" s="29">
        <v>0</v>
      </c>
      <c r="W122" s="29">
        <v>0</v>
      </c>
      <c r="X122" s="29">
        <v>0</v>
      </c>
      <c r="Y122" s="29">
        <v>0</v>
      </c>
      <c r="Z122" s="29">
        <v>0</v>
      </c>
      <c r="AA122" s="29">
        <v>0</v>
      </c>
      <c r="AB122" s="29">
        <v>0</v>
      </c>
      <c r="AC122" s="191">
        <f t="shared" si="23"/>
        <v>0</v>
      </c>
      <c r="AD122" s="29">
        <v>0</v>
      </c>
      <c r="AE122" s="29">
        <v>0</v>
      </c>
      <c r="AF122" s="29">
        <v>0</v>
      </c>
      <c r="AG122" s="29">
        <v>0</v>
      </c>
      <c r="AH122" s="191">
        <f t="shared" si="24"/>
        <v>0</v>
      </c>
      <c r="AI122" s="29">
        <v>0</v>
      </c>
      <c r="AJ122" s="29">
        <v>0</v>
      </c>
      <c r="AK122" s="29">
        <v>0</v>
      </c>
      <c r="AL122" s="29">
        <v>0</v>
      </c>
      <c r="AM122" s="29">
        <v>0</v>
      </c>
      <c r="AN122" s="29">
        <v>0</v>
      </c>
      <c r="AO122" s="29">
        <v>0</v>
      </c>
      <c r="AP122" s="29">
        <v>0</v>
      </c>
      <c r="AQ122" s="29">
        <v>0</v>
      </c>
      <c r="AR122" s="191">
        <f t="shared" si="25"/>
        <v>0</v>
      </c>
      <c r="AS122" s="191">
        <f t="shared" si="26"/>
        <v>0</v>
      </c>
      <c r="AT122" s="29">
        <v>0</v>
      </c>
      <c r="AU122" s="29">
        <v>0</v>
      </c>
      <c r="AV122" s="29">
        <v>0</v>
      </c>
      <c r="AW122" s="29">
        <v>0</v>
      </c>
      <c r="AX122" s="29">
        <v>0</v>
      </c>
      <c r="AY122" s="29">
        <v>0</v>
      </c>
      <c r="AZ122" s="191">
        <f t="shared" si="27"/>
        <v>0</v>
      </c>
      <c r="BA122" s="29">
        <v>0</v>
      </c>
      <c r="BB122" s="29">
        <v>0</v>
      </c>
      <c r="BC122" s="29">
        <v>0</v>
      </c>
      <c r="BD122" s="29">
        <v>0</v>
      </c>
      <c r="BE122" s="29">
        <v>0</v>
      </c>
      <c r="BF122" s="29">
        <v>0</v>
      </c>
      <c r="BG122" s="29">
        <v>0</v>
      </c>
      <c r="BH122" s="29">
        <v>0</v>
      </c>
      <c r="BI122" s="29">
        <v>0</v>
      </c>
      <c r="BJ122" s="191">
        <f t="shared" si="28"/>
        <v>0</v>
      </c>
      <c r="BK122" s="191">
        <f t="shared" si="29"/>
        <v>0</v>
      </c>
      <c r="BL122" s="191">
        <f>$BO$9+SUMPRODUCT($D$10:D122,$BK$10:BK122)</f>
        <v>-10916570.530933687</v>
      </c>
      <c r="BM122" s="30">
        <f t="shared" si="30"/>
        <v>6</v>
      </c>
      <c r="BN122" s="191">
        <f t="shared" si="33"/>
        <v>50747660.227300003</v>
      </c>
      <c r="BO122" s="192">
        <f t="shared" si="31"/>
        <v>896541997.34899998</v>
      </c>
      <c r="BP122" s="41">
        <f t="shared" si="34"/>
        <v>0</v>
      </c>
      <c r="BQ122" s="41">
        <f t="shared" si="35"/>
        <v>0</v>
      </c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>
      <c r="A123" s="193">
        <f t="shared" ref="A123:B138" si="40">A122+1</f>
        <v>114</v>
      </c>
      <c r="B123" s="194">
        <f t="shared" si="40"/>
        <v>2132</v>
      </c>
      <c r="C123" s="29">
        <v>6</v>
      </c>
      <c r="D123" s="191">
        <f t="shared" si="36"/>
        <v>1.2899999999999999E-3</v>
      </c>
      <c r="E123" s="29">
        <v>0</v>
      </c>
      <c r="F123" s="191">
        <f t="shared" si="38"/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191">
        <f t="shared" si="21"/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191">
        <f t="shared" si="22"/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191">
        <f t="shared" si="23"/>
        <v>0</v>
      </c>
      <c r="AD123" s="29">
        <v>0</v>
      </c>
      <c r="AE123" s="29">
        <v>0</v>
      </c>
      <c r="AF123" s="29">
        <v>0</v>
      </c>
      <c r="AG123" s="29">
        <v>0</v>
      </c>
      <c r="AH123" s="191">
        <f t="shared" si="24"/>
        <v>0</v>
      </c>
      <c r="AI123" s="29">
        <v>0</v>
      </c>
      <c r="AJ123" s="29">
        <v>0</v>
      </c>
      <c r="AK123" s="29">
        <v>0</v>
      </c>
      <c r="AL123" s="29">
        <v>0</v>
      </c>
      <c r="AM123" s="29">
        <v>0</v>
      </c>
      <c r="AN123" s="29">
        <v>0</v>
      </c>
      <c r="AO123" s="29">
        <v>0</v>
      </c>
      <c r="AP123" s="29">
        <v>0</v>
      </c>
      <c r="AQ123" s="29">
        <v>0</v>
      </c>
      <c r="AR123" s="191">
        <f t="shared" si="25"/>
        <v>0</v>
      </c>
      <c r="AS123" s="191">
        <f t="shared" si="26"/>
        <v>0</v>
      </c>
      <c r="AT123" s="29">
        <v>0</v>
      </c>
      <c r="AU123" s="29">
        <v>0</v>
      </c>
      <c r="AV123" s="29">
        <v>0</v>
      </c>
      <c r="AW123" s="29">
        <v>0</v>
      </c>
      <c r="AX123" s="29">
        <v>0</v>
      </c>
      <c r="AY123" s="29">
        <v>0</v>
      </c>
      <c r="AZ123" s="191">
        <f t="shared" si="27"/>
        <v>0</v>
      </c>
      <c r="BA123" s="29">
        <v>0</v>
      </c>
      <c r="BB123" s="29">
        <v>0</v>
      </c>
      <c r="BC123" s="29">
        <v>0</v>
      </c>
      <c r="BD123" s="29">
        <v>0</v>
      </c>
      <c r="BE123" s="29">
        <v>0</v>
      </c>
      <c r="BF123" s="29">
        <v>0</v>
      </c>
      <c r="BG123" s="29">
        <v>0</v>
      </c>
      <c r="BH123" s="29">
        <v>0</v>
      </c>
      <c r="BI123" s="29">
        <v>0</v>
      </c>
      <c r="BJ123" s="191">
        <f t="shared" si="28"/>
        <v>0</v>
      </c>
      <c r="BK123" s="191">
        <f t="shared" si="29"/>
        <v>0</v>
      </c>
      <c r="BL123" s="191">
        <f>$BO$9+SUMPRODUCT($D$10:D123,$BK$10:BK123)</f>
        <v>-10916570.530933687</v>
      </c>
      <c r="BM123" s="30">
        <f t="shared" si="30"/>
        <v>6</v>
      </c>
      <c r="BN123" s="191">
        <f t="shared" si="33"/>
        <v>53792519.840939999</v>
      </c>
      <c r="BO123" s="192">
        <f t="shared" si="31"/>
        <v>950334517.18993998</v>
      </c>
      <c r="BP123" s="41">
        <f t="shared" si="34"/>
        <v>0</v>
      </c>
      <c r="BQ123" s="41">
        <f t="shared" si="35"/>
        <v>0</v>
      </c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>
      <c r="A124" s="193">
        <f t="shared" si="40"/>
        <v>115</v>
      </c>
      <c r="B124" s="194">
        <f t="shared" si="40"/>
        <v>2133</v>
      </c>
      <c r="C124" s="29">
        <v>6</v>
      </c>
      <c r="D124" s="191">
        <f t="shared" si="36"/>
        <v>1.2199999999999999E-3</v>
      </c>
      <c r="E124" s="29">
        <v>0</v>
      </c>
      <c r="F124" s="191">
        <f t="shared" si="38"/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191">
        <f t="shared" si="21"/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191">
        <f t="shared" si="22"/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191">
        <f t="shared" si="23"/>
        <v>0</v>
      </c>
      <c r="AD124" s="29">
        <v>0</v>
      </c>
      <c r="AE124" s="29">
        <v>0</v>
      </c>
      <c r="AF124" s="29">
        <v>0</v>
      </c>
      <c r="AG124" s="29">
        <v>0</v>
      </c>
      <c r="AH124" s="191">
        <f t="shared" si="24"/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191">
        <f t="shared" si="25"/>
        <v>0</v>
      </c>
      <c r="AS124" s="191">
        <f t="shared" si="26"/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191">
        <f t="shared" si="27"/>
        <v>0</v>
      </c>
      <c r="BA124" s="29">
        <v>0</v>
      </c>
      <c r="BB124" s="29">
        <v>0</v>
      </c>
      <c r="BC124" s="29">
        <v>0</v>
      </c>
      <c r="BD124" s="29">
        <v>0</v>
      </c>
      <c r="BE124" s="29">
        <v>0</v>
      </c>
      <c r="BF124" s="29">
        <v>0</v>
      </c>
      <c r="BG124" s="29">
        <v>0</v>
      </c>
      <c r="BH124" s="29">
        <v>0</v>
      </c>
      <c r="BI124" s="29">
        <v>0</v>
      </c>
      <c r="BJ124" s="191">
        <f t="shared" si="28"/>
        <v>0</v>
      </c>
      <c r="BK124" s="191">
        <f t="shared" si="29"/>
        <v>0</v>
      </c>
      <c r="BL124" s="191">
        <f>$BO$9+SUMPRODUCT($D$10:D124,$BK$10:BK124)</f>
        <v>-10916570.530933687</v>
      </c>
      <c r="BM124" s="30">
        <f t="shared" si="30"/>
        <v>6</v>
      </c>
      <c r="BN124" s="191">
        <f t="shared" si="33"/>
        <v>57020071.031400003</v>
      </c>
      <c r="BO124" s="192">
        <f t="shared" si="31"/>
        <v>1007354588.2213399</v>
      </c>
      <c r="BP124" s="41">
        <f t="shared" si="34"/>
        <v>0</v>
      </c>
      <c r="BQ124" s="41">
        <f t="shared" si="35"/>
        <v>0</v>
      </c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>
      <c r="A125" s="193">
        <f t="shared" si="40"/>
        <v>116</v>
      </c>
      <c r="B125" s="194">
        <f t="shared" si="40"/>
        <v>2134</v>
      </c>
      <c r="C125" s="29">
        <v>6</v>
      </c>
      <c r="D125" s="191">
        <f t="shared" si="36"/>
        <v>1.15E-3</v>
      </c>
      <c r="E125" s="29">
        <v>0</v>
      </c>
      <c r="F125" s="191">
        <f t="shared" si="38"/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191">
        <f t="shared" si="21"/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191">
        <f t="shared" si="22"/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191">
        <f t="shared" si="23"/>
        <v>0</v>
      </c>
      <c r="AD125" s="29">
        <v>0</v>
      </c>
      <c r="AE125" s="29">
        <v>0</v>
      </c>
      <c r="AF125" s="29">
        <v>0</v>
      </c>
      <c r="AG125" s="29">
        <v>0</v>
      </c>
      <c r="AH125" s="191">
        <f t="shared" si="24"/>
        <v>0</v>
      </c>
      <c r="AI125" s="29">
        <v>0</v>
      </c>
      <c r="AJ125" s="29">
        <v>0</v>
      </c>
      <c r="AK125" s="29">
        <v>0</v>
      </c>
      <c r="AL125" s="29">
        <v>0</v>
      </c>
      <c r="AM125" s="29">
        <v>0</v>
      </c>
      <c r="AN125" s="29">
        <v>0</v>
      </c>
      <c r="AO125" s="29">
        <v>0</v>
      </c>
      <c r="AP125" s="29">
        <v>0</v>
      </c>
      <c r="AQ125" s="29">
        <v>0</v>
      </c>
      <c r="AR125" s="191">
        <f t="shared" si="25"/>
        <v>0</v>
      </c>
      <c r="AS125" s="191">
        <f t="shared" si="26"/>
        <v>0</v>
      </c>
      <c r="AT125" s="29">
        <v>0</v>
      </c>
      <c r="AU125" s="29">
        <v>0</v>
      </c>
      <c r="AV125" s="29">
        <v>0</v>
      </c>
      <c r="AW125" s="29">
        <v>0</v>
      </c>
      <c r="AX125" s="29">
        <v>0</v>
      </c>
      <c r="AY125" s="29">
        <v>0</v>
      </c>
      <c r="AZ125" s="191">
        <f t="shared" si="27"/>
        <v>0</v>
      </c>
      <c r="BA125" s="29">
        <v>0</v>
      </c>
      <c r="BB125" s="29">
        <v>0</v>
      </c>
      <c r="BC125" s="29">
        <v>0</v>
      </c>
      <c r="BD125" s="29">
        <v>0</v>
      </c>
      <c r="BE125" s="29">
        <v>0</v>
      </c>
      <c r="BF125" s="29">
        <v>0</v>
      </c>
      <c r="BG125" s="29">
        <v>0</v>
      </c>
      <c r="BH125" s="29">
        <v>0</v>
      </c>
      <c r="BI125" s="29">
        <v>0</v>
      </c>
      <c r="BJ125" s="191">
        <f t="shared" si="28"/>
        <v>0</v>
      </c>
      <c r="BK125" s="191">
        <f t="shared" si="29"/>
        <v>0</v>
      </c>
      <c r="BL125" s="191">
        <f>$BO$9+SUMPRODUCT($D$10:D125,$BK$10:BK125)</f>
        <v>-10916570.530933687</v>
      </c>
      <c r="BM125" s="30">
        <f t="shared" si="30"/>
        <v>6</v>
      </c>
      <c r="BN125" s="191">
        <f t="shared" si="33"/>
        <v>60441275.293279998</v>
      </c>
      <c r="BO125" s="192">
        <f t="shared" si="31"/>
        <v>1067795863.5146199</v>
      </c>
      <c r="BP125" s="41">
        <f t="shared" si="34"/>
        <v>0</v>
      </c>
      <c r="BQ125" s="41">
        <f t="shared" si="35"/>
        <v>0</v>
      </c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>
      <c r="A126" s="193">
        <f t="shared" si="40"/>
        <v>117</v>
      </c>
      <c r="B126" s="194">
        <f t="shared" si="40"/>
        <v>2135</v>
      </c>
      <c r="C126" s="29">
        <v>6</v>
      </c>
      <c r="D126" s="191">
        <f t="shared" si="36"/>
        <v>1.08E-3</v>
      </c>
      <c r="E126" s="29">
        <v>0</v>
      </c>
      <c r="F126" s="191">
        <f t="shared" si="38"/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191">
        <f t="shared" si="21"/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191">
        <f t="shared" si="22"/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v>0</v>
      </c>
      <c r="AB126" s="29">
        <v>0</v>
      </c>
      <c r="AC126" s="191">
        <f t="shared" si="23"/>
        <v>0</v>
      </c>
      <c r="AD126" s="29">
        <v>0</v>
      </c>
      <c r="AE126" s="29">
        <v>0</v>
      </c>
      <c r="AF126" s="29">
        <v>0</v>
      </c>
      <c r="AG126" s="29">
        <v>0</v>
      </c>
      <c r="AH126" s="191">
        <f t="shared" si="24"/>
        <v>0</v>
      </c>
      <c r="AI126" s="29">
        <v>0</v>
      </c>
      <c r="AJ126" s="29">
        <v>0</v>
      </c>
      <c r="AK126" s="29">
        <v>0</v>
      </c>
      <c r="AL126" s="29">
        <v>0</v>
      </c>
      <c r="AM126" s="29">
        <v>0</v>
      </c>
      <c r="AN126" s="29">
        <v>0</v>
      </c>
      <c r="AO126" s="29">
        <v>0</v>
      </c>
      <c r="AP126" s="29">
        <v>0</v>
      </c>
      <c r="AQ126" s="29">
        <v>0</v>
      </c>
      <c r="AR126" s="191">
        <f t="shared" si="25"/>
        <v>0</v>
      </c>
      <c r="AS126" s="191">
        <f t="shared" si="26"/>
        <v>0</v>
      </c>
      <c r="AT126" s="29">
        <v>0</v>
      </c>
      <c r="AU126" s="29">
        <v>0</v>
      </c>
      <c r="AV126" s="29">
        <v>0</v>
      </c>
      <c r="AW126" s="29">
        <v>0</v>
      </c>
      <c r="AX126" s="29">
        <v>0</v>
      </c>
      <c r="AY126" s="29">
        <v>0</v>
      </c>
      <c r="AZ126" s="191">
        <f t="shared" si="27"/>
        <v>0</v>
      </c>
      <c r="BA126" s="29">
        <v>0</v>
      </c>
      <c r="BB126" s="29">
        <v>0</v>
      </c>
      <c r="BC126" s="29">
        <v>0</v>
      </c>
      <c r="BD126" s="29">
        <v>0</v>
      </c>
      <c r="BE126" s="29">
        <v>0</v>
      </c>
      <c r="BF126" s="29">
        <v>0</v>
      </c>
      <c r="BG126" s="29">
        <v>0</v>
      </c>
      <c r="BH126" s="29">
        <v>0</v>
      </c>
      <c r="BI126" s="29">
        <v>0</v>
      </c>
      <c r="BJ126" s="191">
        <f t="shared" si="28"/>
        <v>0</v>
      </c>
      <c r="BK126" s="191">
        <f t="shared" si="29"/>
        <v>0</v>
      </c>
      <c r="BL126" s="191">
        <f>$BO$9+SUMPRODUCT($D$10:D126,$BK$10:BK126)</f>
        <v>-10916570.530933687</v>
      </c>
      <c r="BM126" s="30">
        <f t="shared" si="30"/>
        <v>6</v>
      </c>
      <c r="BN126" s="191">
        <f t="shared" si="33"/>
        <v>64067751.810879998</v>
      </c>
      <c r="BO126" s="192">
        <f t="shared" si="31"/>
        <v>1131863615.3255</v>
      </c>
      <c r="BP126" s="41">
        <f t="shared" si="34"/>
        <v>0</v>
      </c>
      <c r="BQ126" s="41">
        <f t="shared" si="35"/>
        <v>0</v>
      </c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>
      <c r="A127" s="193">
        <f t="shared" si="40"/>
        <v>118</v>
      </c>
      <c r="B127" s="194">
        <f t="shared" si="40"/>
        <v>2136</v>
      </c>
      <c r="C127" s="29">
        <v>6</v>
      </c>
      <c r="D127" s="191">
        <f t="shared" si="36"/>
        <v>1.0200000000000001E-3</v>
      </c>
      <c r="E127" s="29">
        <v>0</v>
      </c>
      <c r="F127" s="191">
        <f t="shared" si="38"/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191">
        <f t="shared" si="21"/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191">
        <f t="shared" si="22"/>
        <v>0</v>
      </c>
      <c r="V127" s="29">
        <v>0</v>
      </c>
      <c r="W127" s="29">
        <v>0</v>
      </c>
      <c r="X127" s="29">
        <v>0</v>
      </c>
      <c r="Y127" s="29">
        <v>0</v>
      </c>
      <c r="Z127" s="29">
        <v>0</v>
      </c>
      <c r="AA127" s="29">
        <v>0</v>
      </c>
      <c r="AB127" s="29">
        <v>0</v>
      </c>
      <c r="AC127" s="191">
        <f t="shared" si="23"/>
        <v>0</v>
      </c>
      <c r="AD127" s="29">
        <v>0</v>
      </c>
      <c r="AE127" s="29">
        <v>0</v>
      </c>
      <c r="AF127" s="29">
        <v>0</v>
      </c>
      <c r="AG127" s="29">
        <v>0</v>
      </c>
      <c r="AH127" s="191">
        <f t="shared" si="24"/>
        <v>0</v>
      </c>
      <c r="AI127" s="29">
        <v>0</v>
      </c>
      <c r="AJ127" s="29">
        <v>0</v>
      </c>
      <c r="AK127" s="29">
        <v>0</v>
      </c>
      <c r="AL127" s="29">
        <v>0</v>
      </c>
      <c r="AM127" s="29">
        <v>0</v>
      </c>
      <c r="AN127" s="29">
        <v>0</v>
      </c>
      <c r="AO127" s="29">
        <v>0</v>
      </c>
      <c r="AP127" s="29">
        <v>0</v>
      </c>
      <c r="AQ127" s="29">
        <v>0</v>
      </c>
      <c r="AR127" s="191">
        <f t="shared" si="25"/>
        <v>0</v>
      </c>
      <c r="AS127" s="191">
        <f t="shared" si="26"/>
        <v>0</v>
      </c>
      <c r="AT127" s="29">
        <v>0</v>
      </c>
      <c r="AU127" s="29">
        <v>0</v>
      </c>
      <c r="AV127" s="29">
        <v>0</v>
      </c>
      <c r="AW127" s="29">
        <v>0</v>
      </c>
      <c r="AX127" s="29">
        <v>0</v>
      </c>
      <c r="AY127" s="29">
        <v>0</v>
      </c>
      <c r="AZ127" s="191">
        <f t="shared" si="27"/>
        <v>0</v>
      </c>
      <c r="BA127" s="29">
        <v>0</v>
      </c>
      <c r="BB127" s="29">
        <v>0</v>
      </c>
      <c r="BC127" s="29">
        <v>0</v>
      </c>
      <c r="BD127" s="29">
        <v>0</v>
      </c>
      <c r="BE127" s="29">
        <v>0</v>
      </c>
      <c r="BF127" s="29">
        <v>0</v>
      </c>
      <c r="BG127" s="29">
        <v>0</v>
      </c>
      <c r="BH127" s="29">
        <v>0</v>
      </c>
      <c r="BI127" s="29">
        <v>0</v>
      </c>
      <c r="BJ127" s="191">
        <f t="shared" si="28"/>
        <v>0</v>
      </c>
      <c r="BK127" s="191">
        <f t="shared" si="29"/>
        <v>0</v>
      </c>
      <c r="BL127" s="191">
        <f>$BO$9+SUMPRODUCT($D$10:D127,$BK$10:BK127)</f>
        <v>-10916570.530933687</v>
      </c>
      <c r="BM127" s="30">
        <f t="shared" si="30"/>
        <v>6</v>
      </c>
      <c r="BN127" s="191">
        <f t="shared" si="33"/>
        <v>67911816.919530004</v>
      </c>
      <c r="BO127" s="192">
        <f t="shared" si="31"/>
        <v>1199775432.2450299</v>
      </c>
      <c r="BP127" s="41">
        <f t="shared" si="34"/>
        <v>0</v>
      </c>
      <c r="BQ127" s="41">
        <f t="shared" si="35"/>
        <v>0</v>
      </c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>
      <c r="A128" s="193">
        <f t="shared" si="40"/>
        <v>119</v>
      </c>
      <c r="B128" s="194">
        <f t="shared" si="40"/>
        <v>2137</v>
      </c>
      <c r="C128" s="29">
        <v>6</v>
      </c>
      <c r="D128" s="191">
        <f t="shared" si="36"/>
        <v>9.6000000000000002E-4</v>
      </c>
      <c r="E128" s="29">
        <v>0</v>
      </c>
      <c r="F128" s="191">
        <f t="shared" si="38"/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191">
        <f t="shared" si="21"/>
        <v>0</v>
      </c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191">
        <f t="shared" si="22"/>
        <v>0</v>
      </c>
      <c r="V128" s="29">
        <v>0</v>
      </c>
      <c r="W128" s="29">
        <v>0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191">
        <f t="shared" si="23"/>
        <v>0</v>
      </c>
      <c r="AD128" s="29">
        <v>0</v>
      </c>
      <c r="AE128" s="29">
        <v>0</v>
      </c>
      <c r="AF128" s="29">
        <v>0</v>
      </c>
      <c r="AG128" s="29">
        <v>0</v>
      </c>
      <c r="AH128" s="191">
        <f t="shared" si="24"/>
        <v>0</v>
      </c>
      <c r="AI128" s="29">
        <v>0</v>
      </c>
      <c r="AJ128" s="29">
        <v>0</v>
      </c>
      <c r="AK128" s="29">
        <v>0</v>
      </c>
      <c r="AL128" s="29">
        <v>0</v>
      </c>
      <c r="AM128" s="29">
        <v>0</v>
      </c>
      <c r="AN128" s="29">
        <v>0</v>
      </c>
      <c r="AO128" s="29">
        <v>0</v>
      </c>
      <c r="AP128" s="29">
        <v>0</v>
      </c>
      <c r="AQ128" s="29">
        <v>0</v>
      </c>
      <c r="AR128" s="191">
        <f t="shared" si="25"/>
        <v>0</v>
      </c>
      <c r="AS128" s="191">
        <f t="shared" si="26"/>
        <v>0</v>
      </c>
      <c r="AT128" s="29">
        <v>0</v>
      </c>
      <c r="AU128" s="29">
        <v>0</v>
      </c>
      <c r="AV128" s="29">
        <v>0</v>
      </c>
      <c r="AW128" s="29">
        <v>0</v>
      </c>
      <c r="AX128" s="29">
        <v>0</v>
      </c>
      <c r="AY128" s="29">
        <v>0</v>
      </c>
      <c r="AZ128" s="191">
        <f t="shared" si="27"/>
        <v>0</v>
      </c>
      <c r="BA128" s="29">
        <v>0</v>
      </c>
      <c r="BB128" s="29">
        <v>0</v>
      </c>
      <c r="BC128" s="29">
        <v>0</v>
      </c>
      <c r="BD128" s="29">
        <v>0</v>
      </c>
      <c r="BE128" s="29">
        <v>0</v>
      </c>
      <c r="BF128" s="29">
        <v>0</v>
      </c>
      <c r="BG128" s="29">
        <v>0</v>
      </c>
      <c r="BH128" s="29">
        <v>0</v>
      </c>
      <c r="BI128" s="29">
        <v>0</v>
      </c>
      <c r="BJ128" s="191">
        <f t="shared" si="28"/>
        <v>0</v>
      </c>
      <c r="BK128" s="191">
        <f t="shared" si="29"/>
        <v>0</v>
      </c>
      <c r="BL128" s="191">
        <f>$BO$9+SUMPRODUCT($D$10:D128,$BK$10:BK128)</f>
        <v>-10916570.530933687</v>
      </c>
      <c r="BM128" s="30">
        <f t="shared" si="30"/>
        <v>6</v>
      </c>
      <c r="BN128" s="191">
        <f t="shared" si="33"/>
        <v>71986525.934699997</v>
      </c>
      <c r="BO128" s="192">
        <f t="shared" si="31"/>
        <v>1271761958.1797299</v>
      </c>
      <c r="BP128" s="41">
        <f t="shared" si="34"/>
        <v>0</v>
      </c>
      <c r="BQ128" s="41">
        <f t="shared" si="35"/>
        <v>0</v>
      </c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>
      <c r="A129" s="193">
        <f t="shared" si="40"/>
        <v>120</v>
      </c>
      <c r="B129" s="194">
        <f t="shared" si="40"/>
        <v>2138</v>
      </c>
      <c r="C129" s="29">
        <v>6</v>
      </c>
      <c r="D129" s="191">
        <f t="shared" si="36"/>
        <v>9.1E-4</v>
      </c>
      <c r="E129" s="29">
        <v>0</v>
      </c>
      <c r="F129" s="191">
        <f t="shared" si="38"/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191">
        <f t="shared" si="21"/>
        <v>0</v>
      </c>
      <c r="N129" s="29">
        <v>0</v>
      </c>
      <c r="O129" s="29">
        <v>0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191">
        <f t="shared" si="22"/>
        <v>0</v>
      </c>
      <c r="V129" s="29">
        <v>0</v>
      </c>
      <c r="W129" s="29">
        <v>0</v>
      </c>
      <c r="X129" s="29">
        <v>0</v>
      </c>
      <c r="Y129" s="29">
        <v>0</v>
      </c>
      <c r="Z129" s="29">
        <v>0</v>
      </c>
      <c r="AA129" s="29">
        <v>0</v>
      </c>
      <c r="AB129" s="29">
        <v>0</v>
      </c>
      <c r="AC129" s="191">
        <f t="shared" si="23"/>
        <v>0</v>
      </c>
      <c r="AD129" s="29">
        <v>0</v>
      </c>
      <c r="AE129" s="29">
        <v>0</v>
      </c>
      <c r="AF129" s="29">
        <v>0</v>
      </c>
      <c r="AG129" s="29">
        <v>0</v>
      </c>
      <c r="AH129" s="191">
        <f t="shared" si="24"/>
        <v>0</v>
      </c>
      <c r="AI129" s="29">
        <v>0</v>
      </c>
      <c r="AJ129" s="29">
        <v>0</v>
      </c>
      <c r="AK129" s="29">
        <v>0</v>
      </c>
      <c r="AL129" s="29">
        <v>0</v>
      </c>
      <c r="AM129" s="29">
        <v>0</v>
      </c>
      <c r="AN129" s="29">
        <v>0</v>
      </c>
      <c r="AO129" s="29">
        <v>0</v>
      </c>
      <c r="AP129" s="29">
        <v>0</v>
      </c>
      <c r="AQ129" s="29">
        <v>0</v>
      </c>
      <c r="AR129" s="191">
        <f t="shared" si="25"/>
        <v>0</v>
      </c>
      <c r="AS129" s="191">
        <f t="shared" si="26"/>
        <v>0</v>
      </c>
      <c r="AT129" s="29">
        <v>0</v>
      </c>
      <c r="AU129" s="29">
        <v>0</v>
      </c>
      <c r="AV129" s="29">
        <v>0</v>
      </c>
      <c r="AW129" s="29">
        <v>0</v>
      </c>
      <c r="AX129" s="29">
        <v>0</v>
      </c>
      <c r="AY129" s="29">
        <v>0</v>
      </c>
      <c r="AZ129" s="191">
        <f t="shared" si="27"/>
        <v>0</v>
      </c>
      <c r="BA129" s="29">
        <v>0</v>
      </c>
      <c r="BB129" s="29">
        <v>0</v>
      </c>
      <c r="BC129" s="29">
        <v>0</v>
      </c>
      <c r="BD129" s="29">
        <v>0</v>
      </c>
      <c r="BE129" s="29">
        <v>0</v>
      </c>
      <c r="BF129" s="29">
        <v>0</v>
      </c>
      <c r="BG129" s="29">
        <v>0</v>
      </c>
      <c r="BH129" s="29">
        <v>0</v>
      </c>
      <c r="BI129" s="29">
        <v>0</v>
      </c>
      <c r="BJ129" s="191">
        <f t="shared" si="28"/>
        <v>0</v>
      </c>
      <c r="BK129" s="191">
        <f t="shared" si="29"/>
        <v>0</v>
      </c>
      <c r="BL129" s="191">
        <f>$BO$9+SUMPRODUCT($D$10:D129,$BK$10:BK129)</f>
        <v>-10916570.530933687</v>
      </c>
      <c r="BM129" s="30">
        <f t="shared" si="30"/>
        <v>6</v>
      </c>
      <c r="BN129" s="191">
        <f t="shared" si="33"/>
        <v>76305717.490779996</v>
      </c>
      <c r="BO129" s="192">
        <f t="shared" si="31"/>
        <v>1348067675.6705101</v>
      </c>
      <c r="BP129" s="41">
        <f t="shared" si="34"/>
        <v>0</v>
      </c>
      <c r="BQ129" s="41">
        <f t="shared" si="35"/>
        <v>0</v>
      </c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>
      <c r="A130" s="193">
        <f t="shared" si="40"/>
        <v>121</v>
      </c>
      <c r="B130" s="194">
        <f t="shared" si="40"/>
        <v>2139</v>
      </c>
      <c r="C130" s="29">
        <v>6</v>
      </c>
      <c r="D130" s="191">
        <f t="shared" si="36"/>
        <v>8.5999999999999998E-4</v>
      </c>
      <c r="E130" s="29">
        <v>0</v>
      </c>
      <c r="F130" s="191">
        <f t="shared" si="38"/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191">
        <f t="shared" si="21"/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191">
        <f t="shared" si="22"/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191">
        <f t="shared" si="23"/>
        <v>0</v>
      </c>
      <c r="AD130" s="29">
        <v>0</v>
      </c>
      <c r="AE130" s="29">
        <v>0</v>
      </c>
      <c r="AF130" s="29">
        <v>0</v>
      </c>
      <c r="AG130" s="29">
        <v>0</v>
      </c>
      <c r="AH130" s="191">
        <f t="shared" si="24"/>
        <v>0</v>
      </c>
      <c r="AI130" s="29">
        <v>0</v>
      </c>
      <c r="AJ130" s="29">
        <v>0</v>
      </c>
      <c r="AK130" s="29">
        <v>0</v>
      </c>
      <c r="AL130" s="29">
        <v>0</v>
      </c>
      <c r="AM130" s="29">
        <v>0</v>
      </c>
      <c r="AN130" s="29">
        <v>0</v>
      </c>
      <c r="AO130" s="29">
        <v>0</v>
      </c>
      <c r="AP130" s="29">
        <v>0</v>
      </c>
      <c r="AQ130" s="29">
        <v>0</v>
      </c>
      <c r="AR130" s="191">
        <f t="shared" si="25"/>
        <v>0</v>
      </c>
      <c r="AS130" s="191">
        <f t="shared" si="26"/>
        <v>0</v>
      </c>
      <c r="AT130" s="29">
        <v>0</v>
      </c>
      <c r="AU130" s="29">
        <v>0</v>
      </c>
      <c r="AV130" s="29">
        <v>0</v>
      </c>
      <c r="AW130" s="29">
        <v>0</v>
      </c>
      <c r="AX130" s="29">
        <v>0</v>
      </c>
      <c r="AY130" s="29">
        <v>0</v>
      </c>
      <c r="AZ130" s="191">
        <f t="shared" si="27"/>
        <v>0</v>
      </c>
      <c r="BA130" s="29">
        <v>0</v>
      </c>
      <c r="BB130" s="29">
        <v>0</v>
      </c>
      <c r="BC130" s="29">
        <v>0</v>
      </c>
      <c r="BD130" s="29">
        <v>0</v>
      </c>
      <c r="BE130" s="29">
        <v>0</v>
      </c>
      <c r="BF130" s="29">
        <v>0</v>
      </c>
      <c r="BG130" s="29">
        <v>0</v>
      </c>
      <c r="BH130" s="29">
        <v>0</v>
      </c>
      <c r="BI130" s="29">
        <v>0</v>
      </c>
      <c r="BJ130" s="191">
        <f t="shared" si="28"/>
        <v>0</v>
      </c>
      <c r="BK130" s="191">
        <f t="shared" si="29"/>
        <v>0</v>
      </c>
      <c r="BL130" s="191">
        <f>$BO$9+SUMPRODUCT($D$10:D130,$BK$10:BK130)</f>
        <v>-10916570.530933687</v>
      </c>
      <c r="BM130" s="30">
        <f t="shared" si="30"/>
        <v>6</v>
      </c>
      <c r="BN130" s="191">
        <f t="shared" si="33"/>
        <v>80884060.540230006</v>
      </c>
      <c r="BO130" s="192">
        <f t="shared" si="31"/>
        <v>1428951736.2107401</v>
      </c>
      <c r="BP130" s="41">
        <f t="shared" si="34"/>
        <v>0</v>
      </c>
      <c r="BQ130" s="41">
        <f t="shared" si="35"/>
        <v>0</v>
      </c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>
      <c r="A131" s="193">
        <f t="shared" si="40"/>
        <v>122</v>
      </c>
      <c r="B131" s="194">
        <f t="shared" si="40"/>
        <v>2140</v>
      </c>
      <c r="C131" s="29">
        <v>6</v>
      </c>
      <c r="D131" s="191">
        <f t="shared" si="36"/>
        <v>8.0999999999999996E-4</v>
      </c>
      <c r="E131" s="29">
        <v>0</v>
      </c>
      <c r="F131" s="191">
        <f t="shared" si="38"/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191">
        <f t="shared" si="21"/>
        <v>0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191">
        <f t="shared" si="22"/>
        <v>0</v>
      </c>
      <c r="V131" s="29">
        <v>0</v>
      </c>
      <c r="W131" s="29">
        <v>0</v>
      </c>
      <c r="X131" s="29">
        <v>0</v>
      </c>
      <c r="Y131" s="29">
        <v>0</v>
      </c>
      <c r="Z131" s="29">
        <v>0</v>
      </c>
      <c r="AA131" s="29">
        <v>0</v>
      </c>
      <c r="AB131" s="29">
        <v>0</v>
      </c>
      <c r="AC131" s="191">
        <f t="shared" si="23"/>
        <v>0</v>
      </c>
      <c r="AD131" s="29">
        <v>0</v>
      </c>
      <c r="AE131" s="29">
        <v>0</v>
      </c>
      <c r="AF131" s="29">
        <v>0</v>
      </c>
      <c r="AG131" s="29">
        <v>0</v>
      </c>
      <c r="AH131" s="191">
        <f t="shared" si="24"/>
        <v>0</v>
      </c>
      <c r="AI131" s="29">
        <v>0</v>
      </c>
      <c r="AJ131" s="29">
        <v>0</v>
      </c>
      <c r="AK131" s="29">
        <v>0</v>
      </c>
      <c r="AL131" s="29">
        <v>0</v>
      </c>
      <c r="AM131" s="29">
        <v>0</v>
      </c>
      <c r="AN131" s="29">
        <v>0</v>
      </c>
      <c r="AO131" s="29">
        <v>0</v>
      </c>
      <c r="AP131" s="29">
        <v>0</v>
      </c>
      <c r="AQ131" s="29">
        <v>0</v>
      </c>
      <c r="AR131" s="191">
        <f t="shared" si="25"/>
        <v>0</v>
      </c>
      <c r="AS131" s="191">
        <f t="shared" si="26"/>
        <v>0</v>
      </c>
      <c r="AT131" s="29">
        <v>0</v>
      </c>
      <c r="AU131" s="29">
        <v>0</v>
      </c>
      <c r="AV131" s="29">
        <v>0</v>
      </c>
      <c r="AW131" s="29">
        <v>0</v>
      </c>
      <c r="AX131" s="29">
        <v>0</v>
      </c>
      <c r="AY131" s="29">
        <v>0</v>
      </c>
      <c r="AZ131" s="191">
        <f t="shared" si="27"/>
        <v>0</v>
      </c>
      <c r="BA131" s="29">
        <v>0</v>
      </c>
      <c r="BB131" s="29">
        <v>0</v>
      </c>
      <c r="BC131" s="29">
        <v>0</v>
      </c>
      <c r="BD131" s="29">
        <v>0</v>
      </c>
      <c r="BE131" s="29">
        <v>0</v>
      </c>
      <c r="BF131" s="29">
        <v>0</v>
      </c>
      <c r="BG131" s="29">
        <v>0</v>
      </c>
      <c r="BH131" s="29">
        <v>0</v>
      </c>
      <c r="BI131" s="29">
        <v>0</v>
      </c>
      <c r="BJ131" s="191">
        <f t="shared" si="28"/>
        <v>0</v>
      </c>
      <c r="BK131" s="191">
        <f t="shared" si="29"/>
        <v>0</v>
      </c>
      <c r="BL131" s="191">
        <f>$BO$9+SUMPRODUCT($D$10:D131,$BK$10:BK131)</f>
        <v>-10916570.530933687</v>
      </c>
      <c r="BM131" s="30">
        <f t="shared" si="30"/>
        <v>6</v>
      </c>
      <c r="BN131" s="191">
        <f t="shared" si="33"/>
        <v>85737104.172639996</v>
      </c>
      <c r="BO131" s="192">
        <f t="shared" si="31"/>
        <v>1514688840.3833799</v>
      </c>
      <c r="BP131" s="41">
        <f t="shared" si="34"/>
        <v>0</v>
      </c>
      <c r="BQ131" s="41">
        <f t="shared" si="35"/>
        <v>0</v>
      </c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>
      <c r="A132" s="193">
        <f t="shared" si="40"/>
        <v>123</v>
      </c>
      <c r="B132" s="194">
        <f t="shared" si="40"/>
        <v>2141</v>
      </c>
      <c r="C132" s="29">
        <v>6</v>
      </c>
      <c r="D132" s="191">
        <f t="shared" si="36"/>
        <v>7.6000000000000004E-4</v>
      </c>
      <c r="E132" s="29">
        <v>0</v>
      </c>
      <c r="F132" s="191">
        <f t="shared" si="38"/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191">
        <f t="shared" si="21"/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191">
        <f t="shared" si="22"/>
        <v>0</v>
      </c>
      <c r="V132" s="29">
        <v>0</v>
      </c>
      <c r="W132" s="29">
        <v>0</v>
      </c>
      <c r="X132" s="29">
        <v>0</v>
      </c>
      <c r="Y132" s="29">
        <v>0</v>
      </c>
      <c r="Z132" s="29">
        <v>0</v>
      </c>
      <c r="AA132" s="29">
        <v>0</v>
      </c>
      <c r="AB132" s="29">
        <v>0</v>
      </c>
      <c r="AC132" s="191">
        <f t="shared" si="23"/>
        <v>0</v>
      </c>
      <c r="AD132" s="29">
        <v>0</v>
      </c>
      <c r="AE132" s="29">
        <v>0</v>
      </c>
      <c r="AF132" s="29">
        <v>0</v>
      </c>
      <c r="AG132" s="29">
        <v>0</v>
      </c>
      <c r="AH132" s="191">
        <f t="shared" si="24"/>
        <v>0</v>
      </c>
      <c r="AI132" s="29">
        <v>0</v>
      </c>
      <c r="AJ132" s="29">
        <v>0</v>
      </c>
      <c r="AK132" s="29">
        <v>0</v>
      </c>
      <c r="AL132" s="29">
        <v>0</v>
      </c>
      <c r="AM132" s="29">
        <v>0</v>
      </c>
      <c r="AN132" s="29">
        <v>0</v>
      </c>
      <c r="AO132" s="29">
        <v>0</v>
      </c>
      <c r="AP132" s="29">
        <v>0</v>
      </c>
      <c r="AQ132" s="29">
        <v>0</v>
      </c>
      <c r="AR132" s="191">
        <f t="shared" si="25"/>
        <v>0</v>
      </c>
      <c r="AS132" s="191">
        <f t="shared" si="26"/>
        <v>0</v>
      </c>
      <c r="AT132" s="29">
        <v>0</v>
      </c>
      <c r="AU132" s="29">
        <v>0</v>
      </c>
      <c r="AV132" s="29">
        <v>0</v>
      </c>
      <c r="AW132" s="29">
        <v>0</v>
      </c>
      <c r="AX132" s="29">
        <v>0</v>
      </c>
      <c r="AY132" s="29">
        <v>0</v>
      </c>
      <c r="AZ132" s="191">
        <f t="shared" si="27"/>
        <v>0</v>
      </c>
      <c r="BA132" s="29">
        <v>0</v>
      </c>
      <c r="BB132" s="29">
        <v>0</v>
      </c>
      <c r="BC132" s="29">
        <v>0</v>
      </c>
      <c r="BD132" s="29">
        <v>0</v>
      </c>
      <c r="BE132" s="29">
        <v>0</v>
      </c>
      <c r="BF132" s="29">
        <v>0</v>
      </c>
      <c r="BG132" s="29">
        <v>0</v>
      </c>
      <c r="BH132" s="29">
        <v>0</v>
      </c>
      <c r="BI132" s="29">
        <v>0</v>
      </c>
      <c r="BJ132" s="191">
        <f t="shared" si="28"/>
        <v>0</v>
      </c>
      <c r="BK132" s="191">
        <f t="shared" si="29"/>
        <v>0</v>
      </c>
      <c r="BL132" s="191">
        <f>$BO$9+SUMPRODUCT($D$10:D132,$BK$10:BK132)</f>
        <v>-10916570.530933687</v>
      </c>
      <c r="BM132" s="30">
        <f t="shared" si="30"/>
        <v>6</v>
      </c>
      <c r="BN132" s="191">
        <f t="shared" si="33"/>
        <v>90881330.422999993</v>
      </c>
      <c r="BO132" s="192">
        <f t="shared" si="31"/>
        <v>1605570170.80638</v>
      </c>
      <c r="BP132" s="41">
        <f t="shared" si="34"/>
        <v>0</v>
      </c>
      <c r="BQ132" s="41">
        <f t="shared" si="35"/>
        <v>0</v>
      </c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  <c r="AMI132"/>
      <c r="AMJ132"/>
    </row>
    <row r="133" spans="1:1024">
      <c r="A133" s="193">
        <f t="shared" si="40"/>
        <v>124</v>
      </c>
      <c r="B133" s="194">
        <f t="shared" si="40"/>
        <v>2142</v>
      </c>
      <c r="C133" s="29">
        <v>6</v>
      </c>
      <c r="D133" s="191">
        <f t="shared" si="36"/>
        <v>7.2000000000000005E-4</v>
      </c>
      <c r="E133" s="29">
        <v>0</v>
      </c>
      <c r="F133" s="191">
        <f t="shared" si="38"/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191">
        <f t="shared" si="21"/>
        <v>0</v>
      </c>
      <c r="N133" s="29">
        <v>0</v>
      </c>
      <c r="O133" s="29">
        <v>0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191">
        <f t="shared" si="22"/>
        <v>0</v>
      </c>
      <c r="V133" s="29">
        <v>0</v>
      </c>
      <c r="W133" s="29">
        <v>0</v>
      </c>
      <c r="X133" s="29">
        <v>0</v>
      </c>
      <c r="Y133" s="29">
        <v>0</v>
      </c>
      <c r="Z133" s="29">
        <v>0</v>
      </c>
      <c r="AA133" s="29">
        <v>0</v>
      </c>
      <c r="AB133" s="29">
        <v>0</v>
      </c>
      <c r="AC133" s="191">
        <f t="shared" si="23"/>
        <v>0</v>
      </c>
      <c r="AD133" s="29">
        <v>0</v>
      </c>
      <c r="AE133" s="29">
        <v>0</v>
      </c>
      <c r="AF133" s="29">
        <v>0</v>
      </c>
      <c r="AG133" s="29">
        <v>0</v>
      </c>
      <c r="AH133" s="191">
        <f t="shared" si="24"/>
        <v>0</v>
      </c>
      <c r="AI133" s="29">
        <v>0</v>
      </c>
      <c r="AJ133" s="29">
        <v>0</v>
      </c>
      <c r="AK133" s="29">
        <v>0</v>
      </c>
      <c r="AL133" s="29">
        <v>0</v>
      </c>
      <c r="AM133" s="29">
        <v>0</v>
      </c>
      <c r="AN133" s="29">
        <v>0</v>
      </c>
      <c r="AO133" s="29">
        <v>0</v>
      </c>
      <c r="AP133" s="29">
        <v>0</v>
      </c>
      <c r="AQ133" s="29">
        <v>0</v>
      </c>
      <c r="AR133" s="191">
        <f t="shared" si="25"/>
        <v>0</v>
      </c>
      <c r="AS133" s="191">
        <f t="shared" si="26"/>
        <v>0</v>
      </c>
      <c r="AT133" s="29">
        <v>0</v>
      </c>
      <c r="AU133" s="29">
        <v>0</v>
      </c>
      <c r="AV133" s="29">
        <v>0</v>
      </c>
      <c r="AW133" s="29">
        <v>0</v>
      </c>
      <c r="AX133" s="29">
        <v>0</v>
      </c>
      <c r="AY133" s="29">
        <v>0</v>
      </c>
      <c r="AZ133" s="191">
        <f t="shared" si="27"/>
        <v>0</v>
      </c>
      <c r="BA133" s="29">
        <v>0</v>
      </c>
      <c r="BB133" s="29">
        <v>0</v>
      </c>
      <c r="BC133" s="29">
        <v>0</v>
      </c>
      <c r="BD133" s="29">
        <v>0</v>
      </c>
      <c r="BE133" s="29">
        <v>0</v>
      </c>
      <c r="BF133" s="29">
        <v>0</v>
      </c>
      <c r="BG133" s="29">
        <v>0</v>
      </c>
      <c r="BH133" s="29">
        <v>0</v>
      </c>
      <c r="BI133" s="29">
        <v>0</v>
      </c>
      <c r="BJ133" s="191">
        <f t="shared" si="28"/>
        <v>0</v>
      </c>
      <c r="BK133" s="191">
        <f t="shared" si="29"/>
        <v>0</v>
      </c>
      <c r="BL133" s="191">
        <f>$BO$9+SUMPRODUCT($D$10:D133,$BK$10:BK133)</f>
        <v>-10916570.530933687</v>
      </c>
      <c r="BM133" s="30">
        <f t="shared" si="30"/>
        <v>6</v>
      </c>
      <c r="BN133" s="191">
        <f t="shared" si="33"/>
        <v>96334210.248380005</v>
      </c>
      <c r="BO133" s="192">
        <f t="shared" si="31"/>
        <v>1701904381.05476</v>
      </c>
      <c r="BP133" s="41">
        <f t="shared" si="34"/>
        <v>0</v>
      </c>
      <c r="BQ133" s="41">
        <f t="shared" si="35"/>
        <v>0</v>
      </c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  <c r="AMI133"/>
      <c r="AMJ133"/>
    </row>
    <row r="134" spans="1:1024">
      <c r="A134" s="193">
        <f t="shared" si="40"/>
        <v>125</v>
      </c>
      <c r="B134" s="194">
        <f t="shared" si="40"/>
        <v>2143</v>
      </c>
      <c r="C134" s="29">
        <v>6</v>
      </c>
      <c r="D134" s="191">
        <f t="shared" si="36"/>
        <v>6.8000000000000005E-4</v>
      </c>
      <c r="E134" s="29">
        <v>0</v>
      </c>
      <c r="F134" s="191">
        <f t="shared" si="38"/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191">
        <f t="shared" si="21"/>
        <v>0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191">
        <f t="shared" si="22"/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9">
        <v>0</v>
      </c>
      <c r="AC134" s="191">
        <f t="shared" si="23"/>
        <v>0</v>
      </c>
      <c r="AD134" s="29">
        <v>0</v>
      </c>
      <c r="AE134" s="29">
        <v>0</v>
      </c>
      <c r="AF134" s="29">
        <v>0</v>
      </c>
      <c r="AG134" s="29">
        <v>0</v>
      </c>
      <c r="AH134" s="191">
        <f t="shared" si="24"/>
        <v>0</v>
      </c>
      <c r="AI134" s="29">
        <v>0</v>
      </c>
      <c r="AJ134" s="29">
        <v>0</v>
      </c>
      <c r="AK134" s="29">
        <v>0</v>
      </c>
      <c r="AL134" s="29">
        <v>0</v>
      </c>
      <c r="AM134" s="29">
        <v>0</v>
      </c>
      <c r="AN134" s="29">
        <v>0</v>
      </c>
      <c r="AO134" s="29">
        <v>0</v>
      </c>
      <c r="AP134" s="29">
        <v>0</v>
      </c>
      <c r="AQ134" s="29">
        <v>0</v>
      </c>
      <c r="AR134" s="191">
        <f t="shared" si="25"/>
        <v>0</v>
      </c>
      <c r="AS134" s="191">
        <f t="shared" si="26"/>
        <v>0</v>
      </c>
      <c r="AT134" s="29">
        <v>0</v>
      </c>
      <c r="AU134" s="29">
        <v>0</v>
      </c>
      <c r="AV134" s="29">
        <v>0</v>
      </c>
      <c r="AW134" s="29">
        <v>0</v>
      </c>
      <c r="AX134" s="29">
        <v>0</v>
      </c>
      <c r="AY134" s="29">
        <v>0</v>
      </c>
      <c r="AZ134" s="191">
        <f t="shared" si="27"/>
        <v>0</v>
      </c>
      <c r="BA134" s="29">
        <v>0</v>
      </c>
      <c r="BB134" s="29">
        <v>0</v>
      </c>
      <c r="BC134" s="29">
        <v>0</v>
      </c>
      <c r="BD134" s="29">
        <v>0</v>
      </c>
      <c r="BE134" s="29">
        <v>0</v>
      </c>
      <c r="BF134" s="29">
        <v>0</v>
      </c>
      <c r="BG134" s="29">
        <v>0</v>
      </c>
      <c r="BH134" s="29">
        <v>0</v>
      </c>
      <c r="BI134" s="29">
        <v>0</v>
      </c>
      <c r="BJ134" s="191">
        <f t="shared" si="28"/>
        <v>0</v>
      </c>
      <c r="BK134" s="191">
        <f t="shared" si="29"/>
        <v>0</v>
      </c>
      <c r="BL134" s="191">
        <f>$BO$9+SUMPRODUCT($D$10:D134,$BK$10:BK134)</f>
        <v>-10916570.530933687</v>
      </c>
      <c r="BM134" s="30">
        <f t="shared" si="30"/>
        <v>6</v>
      </c>
      <c r="BN134" s="191">
        <f t="shared" si="33"/>
        <v>102114262.86329</v>
      </c>
      <c r="BO134" s="192">
        <f t="shared" si="31"/>
        <v>1804018643.9180501</v>
      </c>
      <c r="BP134" s="41">
        <f t="shared" si="34"/>
        <v>0</v>
      </c>
      <c r="BQ134" s="41">
        <f t="shared" si="35"/>
        <v>0</v>
      </c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>
      <c r="A135" s="193">
        <f t="shared" si="40"/>
        <v>126</v>
      </c>
      <c r="B135" s="194">
        <f t="shared" si="40"/>
        <v>2144</v>
      </c>
      <c r="C135" s="29">
        <v>6</v>
      </c>
      <c r="D135" s="191">
        <f t="shared" si="36"/>
        <v>6.4000000000000005E-4</v>
      </c>
      <c r="E135" s="29">
        <v>0</v>
      </c>
      <c r="F135" s="191">
        <f t="shared" si="38"/>
        <v>0</v>
      </c>
      <c r="G135" s="29">
        <v>0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191">
        <f t="shared" si="21"/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191">
        <f t="shared" si="22"/>
        <v>0</v>
      </c>
      <c r="V135" s="29">
        <v>0</v>
      </c>
      <c r="W135" s="29">
        <v>0</v>
      </c>
      <c r="X135" s="29">
        <v>0</v>
      </c>
      <c r="Y135" s="29">
        <v>0</v>
      </c>
      <c r="Z135" s="29">
        <v>0</v>
      </c>
      <c r="AA135" s="29">
        <v>0</v>
      </c>
      <c r="AB135" s="29">
        <v>0</v>
      </c>
      <c r="AC135" s="191">
        <f t="shared" si="23"/>
        <v>0</v>
      </c>
      <c r="AD135" s="29">
        <v>0</v>
      </c>
      <c r="AE135" s="29">
        <v>0</v>
      </c>
      <c r="AF135" s="29">
        <v>0</v>
      </c>
      <c r="AG135" s="29">
        <v>0</v>
      </c>
      <c r="AH135" s="191">
        <f t="shared" si="24"/>
        <v>0</v>
      </c>
      <c r="AI135" s="29">
        <v>0</v>
      </c>
      <c r="AJ135" s="29">
        <v>0</v>
      </c>
      <c r="AK135" s="29">
        <v>0</v>
      </c>
      <c r="AL135" s="29">
        <v>0</v>
      </c>
      <c r="AM135" s="29">
        <v>0</v>
      </c>
      <c r="AN135" s="29">
        <v>0</v>
      </c>
      <c r="AO135" s="29">
        <v>0</v>
      </c>
      <c r="AP135" s="29">
        <v>0</v>
      </c>
      <c r="AQ135" s="29">
        <v>0</v>
      </c>
      <c r="AR135" s="191">
        <f t="shared" si="25"/>
        <v>0</v>
      </c>
      <c r="AS135" s="191">
        <f t="shared" si="26"/>
        <v>0</v>
      </c>
      <c r="AT135" s="29">
        <v>0</v>
      </c>
      <c r="AU135" s="29">
        <v>0</v>
      </c>
      <c r="AV135" s="29">
        <v>0</v>
      </c>
      <c r="AW135" s="29">
        <v>0</v>
      </c>
      <c r="AX135" s="29">
        <v>0</v>
      </c>
      <c r="AY135" s="29">
        <v>0</v>
      </c>
      <c r="AZ135" s="191">
        <f t="shared" si="27"/>
        <v>0</v>
      </c>
      <c r="BA135" s="29">
        <v>0</v>
      </c>
      <c r="BB135" s="29">
        <v>0</v>
      </c>
      <c r="BC135" s="29">
        <v>0</v>
      </c>
      <c r="BD135" s="29">
        <v>0</v>
      </c>
      <c r="BE135" s="29">
        <v>0</v>
      </c>
      <c r="BF135" s="29">
        <v>0</v>
      </c>
      <c r="BG135" s="29">
        <v>0</v>
      </c>
      <c r="BH135" s="29">
        <v>0</v>
      </c>
      <c r="BI135" s="29">
        <v>0</v>
      </c>
      <c r="BJ135" s="191">
        <f t="shared" si="28"/>
        <v>0</v>
      </c>
      <c r="BK135" s="191">
        <f t="shared" si="29"/>
        <v>0</v>
      </c>
      <c r="BL135" s="191">
        <f>$BO$9+SUMPRODUCT($D$10:D135,$BK$10:BK135)</f>
        <v>-10916570.530933687</v>
      </c>
      <c r="BM135" s="30">
        <f t="shared" si="30"/>
        <v>6</v>
      </c>
      <c r="BN135" s="191">
        <f t="shared" si="33"/>
        <v>108241118.63507999</v>
      </c>
      <c r="BO135" s="192">
        <f t="shared" si="31"/>
        <v>1912259762.5531299</v>
      </c>
      <c r="BP135" s="41">
        <f t="shared" si="34"/>
        <v>0</v>
      </c>
      <c r="BQ135" s="41">
        <f t="shared" si="35"/>
        <v>0</v>
      </c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>
      <c r="A136" s="193">
        <f t="shared" si="40"/>
        <v>127</v>
      </c>
      <c r="B136" s="194">
        <f t="shared" si="40"/>
        <v>2145</v>
      </c>
      <c r="C136" s="29">
        <v>6</v>
      </c>
      <c r="D136" s="191">
        <f t="shared" si="36"/>
        <v>5.9999999999999995E-4</v>
      </c>
      <c r="E136" s="29">
        <v>0</v>
      </c>
      <c r="F136" s="191">
        <f t="shared" si="38"/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191">
        <f t="shared" si="21"/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191">
        <f t="shared" si="22"/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9">
        <v>0</v>
      </c>
      <c r="AC136" s="191">
        <f t="shared" si="23"/>
        <v>0</v>
      </c>
      <c r="AD136" s="29">
        <v>0</v>
      </c>
      <c r="AE136" s="29">
        <v>0</v>
      </c>
      <c r="AF136" s="29">
        <v>0</v>
      </c>
      <c r="AG136" s="29">
        <v>0</v>
      </c>
      <c r="AH136" s="191">
        <f t="shared" si="24"/>
        <v>0</v>
      </c>
      <c r="AI136" s="29">
        <v>0</v>
      </c>
      <c r="AJ136" s="29">
        <v>0</v>
      </c>
      <c r="AK136" s="29">
        <v>0</v>
      </c>
      <c r="AL136" s="29">
        <v>0</v>
      </c>
      <c r="AM136" s="29">
        <v>0</v>
      </c>
      <c r="AN136" s="29">
        <v>0</v>
      </c>
      <c r="AO136" s="29">
        <v>0</v>
      </c>
      <c r="AP136" s="29">
        <v>0</v>
      </c>
      <c r="AQ136" s="29">
        <v>0</v>
      </c>
      <c r="AR136" s="191">
        <f t="shared" si="25"/>
        <v>0</v>
      </c>
      <c r="AS136" s="191">
        <f t="shared" si="26"/>
        <v>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</v>
      </c>
      <c r="AZ136" s="191">
        <f t="shared" si="27"/>
        <v>0</v>
      </c>
      <c r="BA136" s="29">
        <v>0</v>
      </c>
      <c r="BB136" s="29">
        <v>0</v>
      </c>
      <c r="BC136" s="29">
        <v>0</v>
      </c>
      <c r="BD136" s="29">
        <v>0</v>
      </c>
      <c r="BE136" s="29">
        <v>0</v>
      </c>
      <c r="BF136" s="29">
        <v>0</v>
      </c>
      <c r="BG136" s="29">
        <v>0</v>
      </c>
      <c r="BH136" s="29">
        <v>0</v>
      </c>
      <c r="BI136" s="29">
        <v>0</v>
      </c>
      <c r="BJ136" s="191">
        <f t="shared" si="28"/>
        <v>0</v>
      </c>
      <c r="BK136" s="191">
        <f t="shared" si="29"/>
        <v>0</v>
      </c>
      <c r="BL136" s="191">
        <f>$BO$9+SUMPRODUCT($D$10:D136,$BK$10:BK136)</f>
        <v>-10916570.530933687</v>
      </c>
      <c r="BM136" s="30">
        <f t="shared" si="30"/>
        <v>6</v>
      </c>
      <c r="BN136" s="191">
        <f t="shared" si="33"/>
        <v>114735585.75319</v>
      </c>
      <c r="BO136" s="192">
        <f t="shared" si="31"/>
        <v>2026995348.30632</v>
      </c>
      <c r="BP136" s="41">
        <f t="shared" si="34"/>
        <v>0</v>
      </c>
      <c r="BQ136" s="41">
        <f t="shared" si="35"/>
        <v>0</v>
      </c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>
      <c r="A137" s="193">
        <f t="shared" si="40"/>
        <v>128</v>
      </c>
      <c r="B137" s="194">
        <f t="shared" si="40"/>
        <v>2146</v>
      </c>
      <c r="C137" s="29">
        <v>6</v>
      </c>
      <c r="D137" s="191">
        <f t="shared" si="36"/>
        <v>5.6999999999999998E-4</v>
      </c>
      <c r="E137" s="29">
        <v>0</v>
      </c>
      <c r="F137" s="191">
        <f t="shared" si="38"/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191">
        <f t="shared" si="21"/>
        <v>0</v>
      </c>
      <c r="N137" s="29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191">
        <f t="shared" si="22"/>
        <v>0</v>
      </c>
      <c r="V137" s="29">
        <v>0</v>
      </c>
      <c r="W137" s="29">
        <v>0</v>
      </c>
      <c r="X137" s="29">
        <v>0</v>
      </c>
      <c r="Y137" s="29">
        <v>0</v>
      </c>
      <c r="Z137" s="29">
        <v>0</v>
      </c>
      <c r="AA137" s="29">
        <v>0</v>
      </c>
      <c r="AB137" s="29">
        <v>0</v>
      </c>
      <c r="AC137" s="191">
        <f t="shared" si="23"/>
        <v>0</v>
      </c>
      <c r="AD137" s="29">
        <v>0</v>
      </c>
      <c r="AE137" s="29">
        <v>0</v>
      </c>
      <c r="AF137" s="29">
        <v>0</v>
      </c>
      <c r="AG137" s="29">
        <v>0</v>
      </c>
      <c r="AH137" s="191">
        <f t="shared" si="24"/>
        <v>0</v>
      </c>
      <c r="AI137" s="29">
        <v>0</v>
      </c>
      <c r="AJ137" s="29">
        <v>0</v>
      </c>
      <c r="AK137" s="29">
        <v>0</v>
      </c>
      <c r="AL137" s="29">
        <v>0</v>
      </c>
      <c r="AM137" s="29">
        <v>0</v>
      </c>
      <c r="AN137" s="29">
        <v>0</v>
      </c>
      <c r="AO137" s="29">
        <v>0</v>
      </c>
      <c r="AP137" s="29">
        <v>0</v>
      </c>
      <c r="AQ137" s="29">
        <v>0</v>
      </c>
      <c r="AR137" s="191">
        <f t="shared" si="25"/>
        <v>0</v>
      </c>
      <c r="AS137" s="191">
        <f t="shared" si="26"/>
        <v>0</v>
      </c>
      <c r="AT137" s="29">
        <v>0</v>
      </c>
      <c r="AU137" s="29">
        <v>0</v>
      </c>
      <c r="AV137" s="29">
        <v>0</v>
      </c>
      <c r="AW137" s="29">
        <v>0</v>
      </c>
      <c r="AX137" s="29">
        <v>0</v>
      </c>
      <c r="AY137" s="29">
        <v>0</v>
      </c>
      <c r="AZ137" s="191">
        <f t="shared" si="27"/>
        <v>0</v>
      </c>
      <c r="BA137" s="29">
        <v>0</v>
      </c>
      <c r="BB137" s="29">
        <v>0</v>
      </c>
      <c r="BC137" s="29">
        <v>0</v>
      </c>
      <c r="BD137" s="29">
        <v>0</v>
      </c>
      <c r="BE137" s="29">
        <v>0</v>
      </c>
      <c r="BF137" s="29">
        <v>0</v>
      </c>
      <c r="BG137" s="29">
        <v>0</v>
      </c>
      <c r="BH137" s="29">
        <v>0</v>
      </c>
      <c r="BI137" s="29">
        <v>0</v>
      </c>
      <c r="BJ137" s="191">
        <f t="shared" si="28"/>
        <v>0</v>
      </c>
      <c r="BK137" s="191">
        <f t="shared" si="29"/>
        <v>0</v>
      </c>
      <c r="BL137" s="191">
        <f>$BO$9+SUMPRODUCT($D$10:D137,$BK$10:BK137)</f>
        <v>-10916570.530933687</v>
      </c>
      <c r="BM137" s="30">
        <f t="shared" si="30"/>
        <v>6</v>
      </c>
      <c r="BN137" s="191">
        <f t="shared" si="33"/>
        <v>121619720.89838</v>
      </c>
      <c r="BO137" s="192">
        <f t="shared" si="31"/>
        <v>2148615069.2047</v>
      </c>
      <c r="BP137" s="41">
        <f t="shared" si="34"/>
        <v>0</v>
      </c>
      <c r="BQ137" s="41">
        <f t="shared" si="35"/>
        <v>0</v>
      </c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>
      <c r="A138" s="193">
        <f t="shared" si="40"/>
        <v>129</v>
      </c>
      <c r="B138" s="194">
        <f t="shared" si="40"/>
        <v>2147</v>
      </c>
      <c r="C138" s="29">
        <v>6</v>
      </c>
      <c r="D138" s="191">
        <f t="shared" si="36"/>
        <v>5.4000000000000001E-4</v>
      </c>
      <c r="E138" s="29">
        <v>0</v>
      </c>
      <c r="F138" s="191">
        <f t="shared" si="38"/>
        <v>0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191">
        <f t="shared" ref="M138:M159" si="41">ROUND(SUM(N138:T138),5)</f>
        <v>0</v>
      </c>
      <c r="N138" s="29">
        <v>0</v>
      </c>
      <c r="O138" s="29">
        <v>0</v>
      </c>
      <c r="P138" s="29">
        <v>0</v>
      </c>
      <c r="Q138" s="29">
        <v>0</v>
      </c>
      <c r="R138" s="29">
        <v>0</v>
      </c>
      <c r="S138" s="29">
        <v>0</v>
      </c>
      <c r="T138" s="29">
        <v>0</v>
      </c>
      <c r="U138" s="191">
        <f t="shared" ref="U138:U159" si="42">ROUND(SUM(V138:AB138),5)</f>
        <v>0</v>
      </c>
      <c r="V138" s="29">
        <v>0</v>
      </c>
      <c r="W138" s="29">
        <v>0</v>
      </c>
      <c r="X138" s="29">
        <v>0</v>
      </c>
      <c r="Y138" s="29">
        <v>0</v>
      </c>
      <c r="Z138" s="29">
        <v>0</v>
      </c>
      <c r="AA138" s="29">
        <v>0</v>
      </c>
      <c r="AB138" s="29">
        <v>0</v>
      </c>
      <c r="AC138" s="191">
        <f t="shared" ref="AC138:AC159" si="43">ROUND(SUM(AD138:AG138),5)</f>
        <v>0</v>
      </c>
      <c r="AD138" s="29">
        <v>0</v>
      </c>
      <c r="AE138" s="29">
        <v>0</v>
      </c>
      <c r="AF138" s="29">
        <v>0</v>
      </c>
      <c r="AG138" s="29">
        <v>0</v>
      </c>
      <c r="AH138" s="191">
        <f t="shared" ref="AH138:AH159" si="44">ROUND(SUM(AI138:AM138),5)</f>
        <v>0</v>
      </c>
      <c r="AI138" s="29">
        <v>0</v>
      </c>
      <c r="AJ138" s="29">
        <v>0</v>
      </c>
      <c r="AK138" s="29">
        <v>0</v>
      </c>
      <c r="AL138" s="29">
        <v>0</v>
      </c>
      <c r="AM138" s="29">
        <v>0</v>
      </c>
      <c r="AN138" s="29">
        <v>0</v>
      </c>
      <c r="AO138" s="29">
        <v>0</v>
      </c>
      <c r="AP138" s="29">
        <v>0</v>
      </c>
      <c r="AQ138" s="29">
        <v>0</v>
      </c>
      <c r="AR138" s="191">
        <f t="shared" ref="AR138:AR159" si="45">ROUND(F138+K138+L138+M138+U138+AC138+AH138+AN138+AO138+AP138+AQ138,5)</f>
        <v>0</v>
      </c>
      <c r="AS138" s="191">
        <f t="shared" ref="AS138:AS159" si="46">ROUND(SUM(AT138:AY138),5)</f>
        <v>0</v>
      </c>
      <c r="AT138" s="29">
        <v>0</v>
      </c>
      <c r="AU138" s="29">
        <v>0</v>
      </c>
      <c r="AV138" s="29">
        <v>0</v>
      </c>
      <c r="AW138" s="29">
        <v>0</v>
      </c>
      <c r="AX138" s="29">
        <v>0</v>
      </c>
      <c r="AY138" s="29">
        <v>0</v>
      </c>
      <c r="AZ138" s="191">
        <f t="shared" ref="AZ138:AZ159" si="47">ROUND(SUM(BA138:BI138),5)</f>
        <v>0</v>
      </c>
      <c r="BA138" s="29">
        <v>0</v>
      </c>
      <c r="BB138" s="29">
        <v>0</v>
      </c>
      <c r="BC138" s="29">
        <v>0</v>
      </c>
      <c r="BD138" s="29">
        <v>0</v>
      </c>
      <c r="BE138" s="29">
        <v>0</v>
      </c>
      <c r="BF138" s="29">
        <v>0</v>
      </c>
      <c r="BG138" s="29">
        <v>0</v>
      </c>
      <c r="BH138" s="29">
        <v>0</v>
      </c>
      <c r="BI138" s="29">
        <v>0</v>
      </c>
      <c r="BJ138" s="191">
        <f t="shared" ref="BJ138:BJ159" si="48">ROUND(AS138+AZ138,5)</f>
        <v>0</v>
      </c>
      <c r="BK138" s="191">
        <f t="shared" ref="BK138:BK159" si="49">ROUND(AR138-BJ138,5)</f>
        <v>0</v>
      </c>
      <c r="BL138" s="191">
        <f>$BO$9+SUMPRODUCT($D$10:D138,$BK$10:BK138)</f>
        <v>-10916570.530933687</v>
      </c>
      <c r="BM138" s="30">
        <f t="shared" ref="BM138:BM159" si="50">ROUND(C138,5)</f>
        <v>6</v>
      </c>
      <c r="BN138" s="191">
        <f t="shared" si="33"/>
        <v>128916904.15228</v>
      </c>
      <c r="BO138" s="192">
        <f t="shared" ref="BO138:BO159" si="51">IF(BO137+BK138+BN138&gt;0,ROUND(BO137+BK138+BN138,5),0)</f>
        <v>2277531973.3569798</v>
      </c>
      <c r="BP138" s="41">
        <f t="shared" si="34"/>
        <v>0</v>
      </c>
      <c r="BQ138" s="41">
        <f t="shared" si="35"/>
        <v>0</v>
      </c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>
      <c r="A139" s="193">
        <f t="shared" ref="A139:B154" si="52">A138+1</f>
        <v>130</v>
      </c>
      <c r="B139" s="194">
        <f t="shared" si="52"/>
        <v>2148</v>
      </c>
      <c r="C139" s="29">
        <v>6</v>
      </c>
      <c r="D139" s="191">
        <f t="shared" si="36"/>
        <v>5.1000000000000004E-4</v>
      </c>
      <c r="E139" s="29">
        <v>0</v>
      </c>
      <c r="F139" s="191">
        <f t="shared" si="38"/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191">
        <f t="shared" si="41"/>
        <v>0</v>
      </c>
      <c r="N139" s="29">
        <v>0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29">
        <v>0</v>
      </c>
      <c r="U139" s="191">
        <f t="shared" si="42"/>
        <v>0</v>
      </c>
      <c r="V139" s="29">
        <v>0</v>
      </c>
      <c r="W139" s="29">
        <v>0</v>
      </c>
      <c r="X139" s="29">
        <v>0</v>
      </c>
      <c r="Y139" s="29">
        <v>0</v>
      </c>
      <c r="Z139" s="29">
        <v>0</v>
      </c>
      <c r="AA139" s="29">
        <v>0</v>
      </c>
      <c r="AB139" s="29">
        <v>0</v>
      </c>
      <c r="AC139" s="191">
        <f t="shared" si="43"/>
        <v>0</v>
      </c>
      <c r="AD139" s="29">
        <v>0</v>
      </c>
      <c r="AE139" s="29">
        <v>0</v>
      </c>
      <c r="AF139" s="29">
        <v>0</v>
      </c>
      <c r="AG139" s="29">
        <v>0</v>
      </c>
      <c r="AH139" s="191">
        <f t="shared" si="44"/>
        <v>0</v>
      </c>
      <c r="AI139" s="29">
        <v>0</v>
      </c>
      <c r="AJ139" s="29">
        <v>0</v>
      </c>
      <c r="AK139" s="29">
        <v>0</v>
      </c>
      <c r="AL139" s="29">
        <v>0</v>
      </c>
      <c r="AM139" s="29">
        <v>0</v>
      </c>
      <c r="AN139" s="29">
        <v>0</v>
      </c>
      <c r="AO139" s="29">
        <v>0</v>
      </c>
      <c r="AP139" s="29">
        <v>0</v>
      </c>
      <c r="AQ139" s="29">
        <v>0</v>
      </c>
      <c r="AR139" s="191">
        <f t="shared" si="45"/>
        <v>0</v>
      </c>
      <c r="AS139" s="191">
        <f t="shared" si="46"/>
        <v>0</v>
      </c>
      <c r="AT139" s="29">
        <v>0</v>
      </c>
      <c r="AU139" s="29">
        <v>0</v>
      </c>
      <c r="AV139" s="29">
        <v>0</v>
      </c>
      <c r="AW139" s="29">
        <v>0</v>
      </c>
      <c r="AX139" s="29">
        <v>0</v>
      </c>
      <c r="AY139" s="29">
        <v>0</v>
      </c>
      <c r="AZ139" s="191">
        <f t="shared" si="47"/>
        <v>0</v>
      </c>
      <c r="BA139" s="29">
        <v>0</v>
      </c>
      <c r="BB139" s="29">
        <v>0</v>
      </c>
      <c r="BC139" s="29">
        <v>0</v>
      </c>
      <c r="BD139" s="29">
        <v>0</v>
      </c>
      <c r="BE139" s="29">
        <v>0</v>
      </c>
      <c r="BF139" s="29">
        <v>0</v>
      </c>
      <c r="BG139" s="29">
        <v>0</v>
      </c>
      <c r="BH139" s="29">
        <v>0</v>
      </c>
      <c r="BI139" s="29">
        <v>0</v>
      </c>
      <c r="BJ139" s="191">
        <f t="shared" si="48"/>
        <v>0</v>
      </c>
      <c r="BK139" s="191">
        <f t="shared" si="49"/>
        <v>0</v>
      </c>
      <c r="BL139" s="191">
        <f>$BO$9+SUMPRODUCT($D$10:D139,$BK$10:BK139)</f>
        <v>-10916570.530933687</v>
      </c>
      <c r="BM139" s="30">
        <f t="shared" si="50"/>
        <v>6</v>
      </c>
      <c r="BN139" s="191">
        <f t="shared" ref="BN139:BN159" si="53">IF($A$10=0,IF(BO138+BK139&lt;0,0,ROUND(BM139/100*(BO138+BK139),5)),ROUND(BM139/100*BO138,5))</f>
        <v>136651918.40142</v>
      </c>
      <c r="BO139" s="192">
        <f t="shared" si="51"/>
        <v>2414183891.7584</v>
      </c>
      <c r="BP139" s="41">
        <f t="shared" ref="BP139:BP159" si="54">(1/((1+$C139/100)^($A139-0.5)))*(AS139+AZ139-AY139-BH139-F139-AC139-AH139)</f>
        <v>0</v>
      </c>
      <c r="BQ139" s="41">
        <f t="shared" ref="BQ139:BQ159" si="55">$BP139*($A139-0.5)</f>
        <v>0</v>
      </c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>
      <c r="A140" s="193">
        <f t="shared" si="52"/>
        <v>131</v>
      </c>
      <c r="B140" s="194">
        <f t="shared" si="52"/>
        <v>2149</v>
      </c>
      <c r="C140" s="29">
        <v>6</v>
      </c>
      <c r="D140" s="191">
        <f t="shared" ref="D140:D158" si="56">ROUND((1+C140/100)^-1*D139,5)</f>
        <v>4.8000000000000001E-4</v>
      </c>
      <c r="E140" s="29">
        <v>0</v>
      </c>
      <c r="F140" s="191">
        <f t="shared" si="38"/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191">
        <f t="shared" si="41"/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191">
        <f t="shared" si="42"/>
        <v>0</v>
      </c>
      <c r="V140" s="29">
        <v>0</v>
      </c>
      <c r="W140" s="29">
        <v>0</v>
      </c>
      <c r="X140" s="29">
        <v>0</v>
      </c>
      <c r="Y140" s="29">
        <v>0</v>
      </c>
      <c r="Z140" s="29">
        <v>0</v>
      </c>
      <c r="AA140" s="29">
        <v>0</v>
      </c>
      <c r="AB140" s="29">
        <v>0</v>
      </c>
      <c r="AC140" s="191">
        <f t="shared" si="43"/>
        <v>0</v>
      </c>
      <c r="AD140" s="29">
        <v>0</v>
      </c>
      <c r="AE140" s="29">
        <v>0</v>
      </c>
      <c r="AF140" s="29">
        <v>0</v>
      </c>
      <c r="AG140" s="29">
        <v>0</v>
      </c>
      <c r="AH140" s="191">
        <f t="shared" si="44"/>
        <v>0</v>
      </c>
      <c r="AI140" s="29">
        <v>0</v>
      </c>
      <c r="AJ140" s="29">
        <v>0</v>
      </c>
      <c r="AK140" s="29">
        <v>0</v>
      </c>
      <c r="AL140" s="29">
        <v>0</v>
      </c>
      <c r="AM140" s="29">
        <v>0</v>
      </c>
      <c r="AN140" s="29">
        <v>0</v>
      </c>
      <c r="AO140" s="29">
        <v>0</v>
      </c>
      <c r="AP140" s="29">
        <v>0</v>
      </c>
      <c r="AQ140" s="29">
        <v>0</v>
      </c>
      <c r="AR140" s="191">
        <f t="shared" si="45"/>
        <v>0</v>
      </c>
      <c r="AS140" s="191">
        <f t="shared" si="46"/>
        <v>0</v>
      </c>
      <c r="AT140" s="29">
        <v>0</v>
      </c>
      <c r="AU140" s="29">
        <v>0</v>
      </c>
      <c r="AV140" s="29">
        <v>0</v>
      </c>
      <c r="AW140" s="29">
        <v>0</v>
      </c>
      <c r="AX140" s="29">
        <v>0</v>
      </c>
      <c r="AY140" s="29">
        <v>0</v>
      </c>
      <c r="AZ140" s="191">
        <f t="shared" si="47"/>
        <v>0</v>
      </c>
      <c r="BA140" s="29">
        <v>0</v>
      </c>
      <c r="BB140" s="29">
        <v>0</v>
      </c>
      <c r="BC140" s="29">
        <v>0</v>
      </c>
      <c r="BD140" s="29">
        <v>0</v>
      </c>
      <c r="BE140" s="29">
        <v>0</v>
      </c>
      <c r="BF140" s="29">
        <v>0</v>
      </c>
      <c r="BG140" s="29">
        <v>0</v>
      </c>
      <c r="BH140" s="29">
        <v>0</v>
      </c>
      <c r="BI140" s="29">
        <v>0</v>
      </c>
      <c r="BJ140" s="191">
        <f t="shared" si="48"/>
        <v>0</v>
      </c>
      <c r="BK140" s="191">
        <f t="shared" si="49"/>
        <v>0</v>
      </c>
      <c r="BL140" s="191">
        <f>$BO$9+SUMPRODUCT($D$10:D140,$BK$10:BK140)</f>
        <v>-10916570.530933687</v>
      </c>
      <c r="BM140" s="30">
        <f t="shared" si="50"/>
        <v>6</v>
      </c>
      <c r="BN140" s="191">
        <f t="shared" si="53"/>
        <v>144851033.50549999</v>
      </c>
      <c r="BO140" s="192">
        <f t="shared" si="51"/>
        <v>2559034925.2638998</v>
      </c>
      <c r="BP140" s="41">
        <f t="shared" si="54"/>
        <v>0</v>
      </c>
      <c r="BQ140" s="41">
        <f t="shared" si="55"/>
        <v>0</v>
      </c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>
      <c r="A141" s="193">
        <f t="shared" si="52"/>
        <v>132</v>
      </c>
      <c r="B141" s="194">
        <f t="shared" si="52"/>
        <v>2150</v>
      </c>
      <c r="C141" s="29">
        <v>6</v>
      </c>
      <c r="D141" s="191">
        <f t="shared" si="56"/>
        <v>4.4999999999999999E-4</v>
      </c>
      <c r="E141" s="29">
        <v>0</v>
      </c>
      <c r="F141" s="191">
        <f t="shared" si="38"/>
        <v>0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191">
        <f t="shared" si="41"/>
        <v>0</v>
      </c>
      <c r="N141" s="29">
        <v>0</v>
      </c>
      <c r="O141" s="29">
        <v>0</v>
      </c>
      <c r="P141" s="29">
        <v>0</v>
      </c>
      <c r="Q141" s="29">
        <v>0</v>
      </c>
      <c r="R141" s="29">
        <v>0</v>
      </c>
      <c r="S141" s="29">
        <v>0</v>
      </c>
      <c r="T141" s="29">
        <v>0</v>
      </c>
      <c r="U141" s="191">
        <f t="shared" si="42"/>
        <v>0</v>
      </c>
      <c r="V141" s="29">
        <v>0</v>
      </c>
      <c r="W141" s="29">
        <v>0</v>
      </c>
      <c r="X141" s="29">
        <v>0</v>
      </c>
      <c r="Y141" s="29">
        <v>0</v>
      </c>
      <c r="Z141" s="29">
        <v>0</v>
      </c>
      <c r="AA141" s="29">
        <v>0</v>
      </c>
      <c r="AB141" s="29">
        <v>0</v>
      </c>
      <c r="AC141" s="191">
        <f t="shared" si="43"/>
        <v>0</v>
      </c>
      <c r="AD141" s="29">
        <v>0</v>
      </c>
      <c r="AE141" s="29">
        <v>0</v>
      </c>
      <c r="AF141" s="29">
        <v>0</v>
      </c>
      <c r="AG141" s="29">
        <v>0</v>
      </c>
      <c r="AH141" s="191">
        <f t="shared" si="44"/>
        <v>0</v>
      </c>
      <c r="AI141" s="29">
        <v>0</v>
      </c>
      <c r="AJ141" s="29">
        <v>0</v>
      </c>
      <c r="AK141" s="29">
        <v>0</v>
      </c>
      <c r="AL141" s="29">
        <v>0</v>
      </c>
      <c r="AM141" s="29">
        <v>0</v>
      </c>
      <c r="AN141" s="29">
        <v>0</v>
      </c>
      <c r="AO141" s="29">
        <v>0</v>
      </c>
      <c r="AP141" s="29">
        <v>0</v>
      </c>
      <c r="AQ141" s="29">
        <v>0</v>
      </c>
      <c r="AR141" s="191">
        <f t="shared" si="45"/>
        <v>0</v>
      </c>
      <c r="AS141" s="191">
        <f t="shared" si="46"/>
        <v>0</v>
      </c>
      <c r="AT141" s="29">
        <v>0</v>
      </c>
      <c r="AU141" s="29">
        <v>0</v>
      </c>
      <c r="AV141" s="29">
        <v>0</v>
      </c>
      <c r="AW141" s="29">
        <v>0</v>
      </c>
      <c r="AX141" s="29">
        <v>0</v>
      </c>
      <c r="AY141" s="29">
        <v>0</v>
      </c>
      <c r="AZ141" s="191">
        <f t="shared" si="47"/>
        <v>0</v>
      </c>
      <c r="BA141" s="29">
        <v>0</v>
      </c>
      <c r="BB141" s="29">
        <v>0</v>
      </c>
      <c r="BC141" s="29">
        <v>0</v>
      </c>
      <c r="BD141" s="29">
        <v>0</v>
      </c>
      <c r="BE141" s="29">
        <v>0</v>
      </c>
      <c r="BF141" s="29">
        <v>0</v>
      </c>
      <c r="BG141" s="29">
        <v>0</v>
      </c>
      <c r="BH141" s="29">
        <v>0</v>
      </c>
      <c r="BI141" s="29">
        <v>0</v>
      </c>
      <c r="BJ141" s="191">
        <f t="shared" si="48"/>
        <v>0</v>
      </c>
      <c r="BK141" s="191">
        <f t="shared" si="49"/>
        <v>0</v>
      </c>
      <c r="BL141" s="191">
        <f>$BO$9+SUMPRODUCT($D$10:D141,$BK$10:BK141)</f>
        <v>-10916570.530933687</v>
      </c>
      <c r="BM141" s="30">
        <f t="shared" si="50"/>
        <v>6</v>
      </c>
      <c r="BN141" s="191">
        <f t="shared" si="53"/>
        <v>153542095.51583001</v>
      </c>
      <c r="BO141" s="192">
        <f t="shared" si="51"/>
        <v>2712577020.7797298</v>
      </c>
      <c r="BP141" s="41">
        <f t="shared" si="54"/>
        <v>0</v>
      </c>
      <c r="BQ141" s="41">
        <f t="shared" si="55"/>
        <v>0</v>
      </c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>
      <c r="A142" s="193">
        <f t="shared" si="52"/>
        <v>133</v>
      </c>
      <c r="B142" s="194">
        <f t="shared" si="52"/>
        <v>2151</v>
      </c>
      <c r="C142" s="29">
        <v>6</v>
      </c>
      <c r="D142" s="191">
        <f t="shared" si="56"/>
        <v>4.2000000000000002E-4</v>
      </c>
      <c r="E142" s="29">
        <v>0</v>
      </c>
      <c r="F142" s="191">
        <f t="shared" si="38"/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191">
        <f t="shared" si="41"/>
        <v>0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191">
        <f t="shared" si="42"/>
        <v>0</v>
      </c>
      <c r="V142" s="29">
        <v>0</v>
      </c>
      <c r="W142" s="29">
        <v>0</v>
      </c>
      <c r="X142" s="29">
        <v>0</v>
      </c>
      <c r="Y142" s="29">
        <v>0</v>
      </c>
      <c r="Z142" s="29">
        <v>0</v>
      </c>
      <c r="AA142" s="29">
        <v>0</v>
      </c>
      <c r="AB142" s="29">
        <v>0</v>
      </c>
      <c r="AC142" s="191">
        <f t="shared" si="43"/>
        <v>0</v>
      </c>
      <c r="AD142" s="29">
        <v>0</v>
      </c>
      <c r="AE142" s="29">
        <v>0</v>
      </c>
      <c r="AF142" s="29">
        <v>0</v>
      </c>
      <c r="AG142" s="29">
        <v>0</v>
      </c>
      <c r="AH142" s="191">
        <f t="shared" si="44"/>
        <v>0</v>
      </c>
      <c r="AI142" s="29">
        <v>0</v>
      </c>
      <c r="AJ142" s="29">
        <v>0</v>
      </c>
      <c r="AK142" s="29">
        <v>0</v>
      </c>
      <c r="AL142" s="29">
        <v>0</v>
      </c>
      <c r="AM142" s="29">
        <v>0</v>
      </c>
      <c r="AN142" s="29">
        <v>0</v>
      </c>
      <c r="AO142" s="29">
        <v>0</v>
      </c>
      <c r="AP142" s="29">
        <v>0</v>
      </c>
      <c r="AQ142" s="29">
        <v>0</v>
      </c>
      <c r="AR142" s="191">
        <f t="shared" si="45"/>
        <v>0</v>
      </c>
      <c r="AS142" s="191">
        <f t="shared" si="46"/>
        <v>0</v>
      </c>
      <c r="AT142" s="29">
        <v>0</v>
      </c>
      <c r="AU142" s="29">
        <v>0</v>
      </c>
      <c r="AV142" s="29">
        <v>0</v>
      </c>
      <c r="AW142" s="29">
        <v>0</v>
      </c>
      <c r="AX142" s="29">
        <v>0</v>
      </c>
      <c r="AY142" s="29">
        <v>0</v>
      </c>
      <c r="AZ142" s="191">
        <f t="shared" si="47"/>
        <v>0</v>
      </c>
      <c r="BA142" s="29">
        <v>0</v>
      </c>
      <c r="BB142" s="29">
        <v>0</v>
      </c>
      <c r="BC142" s="29">
        <v>0</v>
      </c>
      <c r="BD142" s="29">
        <v>0</v>
      </c>
      <c r="BE142" s="29">
        <v>0</v>
      </c>
      <c r="BF142" s="29">
        <v>0</v>
      </c>
      <c r="BG142" s="29">
        <v>0</v>
      </c>
      <c r="BH142" s="29">
        <v>0</v>
      </c>
      <c r="BI142" s="29">
        <v>0</v>
      </c>
      <c r="BJ142" s="191">
        <f t="shared" si="48"/>
        <v>0</v>
      </c>
      <c r="BK142" s="191">
        <f t="shared" si="49"/>
        <v>0</v>
      </c>
      <c r="BL142" s="191">
        <f>$BO$9+SUMPRODUCT($D$10:D142,$BK$10:BK142)</f>
        <v>-10916570.530933687</v>
      </c>
      <c r="BM142" s="30">
        <f t="shared" si="50"/>
        <v>6</v>
      </c>
      <c r="BN142" s="191">
        <f t="shared" si="53"/>
        <v>162754621.24678001</v>
      </c>
      <c r="BO142" s="192">
        <f t="shared" si="51"/>
        <v>2875331642.0265098</v>
      </c>
      <c r="BP142" s="41">
        <f t="shared" si="54"/>
        <v>0</v>
      </c>
      <c r="BQ142" s="41">
        <f t="shared" si="55"/>
        <v>0</v>
      </c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>
      <c r="A143" s="193">
        <f t="shared" si="52"/>
        <v>134</v>
      </c>
      <c r="B143" s="194">
        <f t="shared" si="52"/>
        <v>2152</v>
      </c>
      <c r="C143" s="29">
        <v>6</v>
      </c>
      <c r="D143" s="191">
        <f t="shared" si="56"/>
        <v>4.0000000000000002E-4</v>
      </c>
      <c r="E143" s="29">
        <v>0</v>
      </c>
      <c r="F143" s="191">
        <f t="shared" si="38"/>
        <v>0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191">
        <f t="shared" si="41"/>
        <v>0</v>
      </c>
      <c r="N143" s="29">
        <v>0</v>
      </c>
      <c r="O143" s="29">
        <v>0</v>
      </c>
      <c r="P143" s="29">
        <v>0</v>
      </c>
      <c r="Q143" s="29">
        <v>0</v>
      </c>
      <c r="R143" s="29">
        <v>0</v>
      </c>
      <c r="S143" s="29">
        <v>0</v>
      </c>
      <c r="T143" s="29">
        <v>0</v>
      </c>
      <c r="U143" s="191">
        <f t="shared" si="42"/>
        <v>0</v>
      </c>
      <c r="V143" s="29">
        <v>0</v>
      </c>
      <c r="W143" s="29">
        <v>0</v>
      </c>
      <c r="X143" s="29">
        <v>0</v>
      </c>
      <c r="Y143" s="29">
        <v>0</v>
      </c>
      <c r="Z143" s="29">
        <v>0</v>
      </c>
      <c r="AA143" s="29">
        <v>0</v>
      </c>
      <c r="AB143" s="29">
        <v>0</v>
      </c>
      <c r="AC143" s="191">
        <f t="shared" si="43"/>
        <v>0</v>
      </c>
      <c r="AD143" s="29">
        <v>0</v>
      </c>
      <c r="AE143" s="29">
        <v>0</v>
      </c>
      <c r="AF143" s="29">
        <v>0</v>
      </c>
      <c r="AG143" s="29">
        <v>0</v>
      </c>
      <c r="AH143" s="191">
        <f t="shared" si="44"/>
        <v>0</v>
      </c>
      <c r="AI143" s="29">
        <v>0</v>
      </c>
      <c r="AJ143" s="29">
        <v>0</v>
      </c>
      <c r="AK143" s="29">
        <v>0</v>
      </c>
      <c r="AL143" s="29">
        <v>0</v>
      </c>
      <c r="AM143" s="29">
        <v>0</v>
      </c>
      <c r="AN143" s="29">
        <v>0</v>
      </c>
      <c r="AO143" s="29">
        <v>0</v>
      </c>
      <c r="AP143" s="29">
        <v>0</v>
      </c>
      <c r="AQ143" s="29">
        <v>0</v>
      </c>
      <c r="AR143" s="191">
        <f t="shared" si="45"/>
        <v>0</v>
      </c>
      <c r="AS143" s="191">
        <f t="shared" si="46"/>
        <v>0</v>
      </c>
      <c r="AT143" s="29">
        <v>0</v>
      </c>
      <c r="AU143" s="29">
        <v>0</v>
      </c>
      <c r="AV143" s="29">
        <v>0</v>
      </c>
      <c r="AW143" s="29">
        <v>0</v>
      </c>
      <c r="AX143" s="29">
        <v>0</v>
      </c>
      <c r="AY143" s="29">
        <v>0</v>
      </c>
      <c r="AZ143" s="191">
        <f t="shared" si="47"/>
        <v>0</v>
      </c>
      <c r="BA143" s="29">
        <v>0</v>
      </c>
      <c r="BB143" s="29">
        <v>0</v>
      </c>
      <c r="BC143" s="29">
        <v>0</v>
      </c>
      <c r="BD143" s="29">
        <v>0</v>
      </c>
      <c r="BE143" s="29">
        <v>0</v>
      </c>
      <c r="BF143" s="29">
        <v>0</v>
      </c>
      <c r="BG143" s="29">
        <v>0</v>
      </c>
      <c r="BH143" s="29">
        <v>0</v>
      </c>
      <c r="BI143" s="29">
        <v>0</v>
      </c>
      <c r="BJ143" s="191">
        <f t="shared" si="48"/>
        <v>0</v>
      </c>
      <c r="BK143" s="191">
        <f t="shared" si="49"/>
        <v>0</v>
      </c>
      <c r="BL143" s="191">
        <f>$BO$9+SUMPRODUCT($D$10:D143,$BK$10:BK143)</f>
        <v>-10916570.530933687</v>
      </c>
      <c r="BM143" s="30">
        <f t="shared" si="50"/>
        <v>6</v>
      </c>
      <c r="BN143" s="191">
        <f t="shared" si="53"/>
        <v>172519898.52158999</v>
      </c>
      <c r="BO143" s="192">
        <f t="shared" si="51"/>
        <v>3047851540.5481</v>
      </c>
      <c r="BP143" s="41">
        <f t="shared" si="54"/>
        <v>0</v>
      </c>
      <c r="BQ143" s="41">
        <f t="shared" si="55"/>
        <v>0</v>
      </c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>
      <c r="A144" s="193">
        <f t="shared" si="52"/>
        <v>135</v>
      </c>
      <c r="B144" s="194">
        <f t="shared" si="52"/>
        <v>2153</v>
      </c>
      <c r="C144" s="29">
        <v>6</v>
      </c>
      <c r="D144" s="191">
        <f t="shared" si="56"/>
        <v>3.8000000000000002E-4</v>
      </c>
      <c r="E144" s="29">
        <v>0</v>
      </c>
      <c r="F144" s="191">
        <f t="shared" si="38"/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191">
        <f t="shared" si="41"/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191">
        <f t="shared" si="42"/>
        <v>0</v>
      </c>
      <c r="V144" s="29">
        <v>0</v>
      </c>
      <c r="W144" s="29">
        <v>0</v>
      </c>
      <c r="X144" s="29">
        <v>0</v>
      </c>
      <c r="Y144" s="29">
        <v>0</v>
      </c>
      <c r="Z144" s="29">
        <v>0</v>
      </c>
      <c r="AA144" s="29">
        <v>0</v>
      </c>
      <c r="AB144" s="29">
        <v>0</v>
      </c>
      <c r="AC144" s="191">
        <f t="shared" si="43"/>
        <v>0</v>
      </c>
      <c r="AD144" s="29">
        <v>0</v>
      </c>
      <c r="AE144" s="29">
        <v>0</v>
      </c>
      <c r="AF144" s="29">
        <v>0</v>
      </c>
      <c r="AG144" s="29">
        <v>0</v>
      </c>
      <c r="AH144" s="191">
        <f t="shared" si="44"/>
        <v>0</v>
      </c>
      <c r="AI144" s="29">
        <v>0</v>
      </c>
      <c r="AJ144" s="29">
        <v>0</v>
      </c>
      <c r="AK144" s="29">
        <v>0</v>
      </c>
      <c r="AL144" s="29">
        <v>0</v>
      </c>
      <c r="AM144" s="29">
        <v>0</v>
      </c>
      <c r="AN144" s="29">
        <v>0</v>
      </c>
      <c r="AO144" s="29">
        <v>0</v>
      </c>
      <c r="AP144" s="29">
        <v>0</v>
      </c>
      <c r="AQ144" s="29">
        <v>0</v>
      </c>
      <c r="AR144" s="191">
        <f t="shared" si="45"/>
        <v>0</v>
      </c>
      <c r="AS144" s="191">
        <f t="shared" si="46"/>
        <v>0</v>
      </c>
      <c r="AT144" s="29">
        <v>0</v>
      </c>
      <c r="AU144" s="29">
        <v>0</v>
      </c>
      <c r="AV144" s="29">
        <v>0</v>
      </c>
      <c r="AW144" s="29">
        <v>0</v>
      </c>
      <c r="AX144" s="29">
        <v>0</v>
      </c>
      <c r="AY144" s="29">
        <v>0</v>
      </c>
      <c r="AZ144" s="191">
        <f t="shared" si="47"/>
        <v>0</v>
      </c>
      <c r="BA144" s="29">
        <v>0</v>
      </c>
      <c r="BB144" s="29">
        <v>0</v>
      </c>
      <c r="BC144" s="29">
        <v>0</v>
      </c>
      <c r="BD144" s="29">
        <v>0</v>
      </c>
      <c r="BE144" s="29">
        <v>0</v>
      </c>
      <c r="BF144" s="29">
        <v>0</v>
      </c>
      <c r="BG144" s="29">
        <v>0</v>
      </c>
      <c r="BH144" s="29">
        <v>0</v>
      </c>
      <c r="BI144" s="29">
        <v>0</v>
      </c>
      <c r="BJ144" s="191">
        <f t="shared" si="48"/>
        <v>0</v>
      </c>
      <c r="BK144" s="191">
        <f t="shared" si="49"/>
        <v>0</v>
      </c>
      <c r="BL144" s="191">
        <f>$BO$9+SUMPRODUCT($D$10:D144,$BK$10:BK144)</f>
        <v>-10916570.530933687</v>
      </c>
      <c r="BM144" s="30">
        <f t="shared" si="50"/>
        <v>6</v>
      </c>
      <c r="BN144" s="191">
        <f t="shared" si="53"/>
        <v>182871092.43289</v>
      </c>
      <c r="BO144" s="192">
        <f t="shared" si="51"/>
        <v>3230722632.9809899</v>
      </c>
      <c r="BP144" s="41">
        <f t="shared" si="54"/>
        <v>0</v>
      </c>
      <c r="BQ144" s="41">
        <f t="shared" si="55"/>
        <v>0</v>
      </c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>
      <c r="A145" s="193">
        <f t="shared" si="52"/>
        <v>136</v>
      </c>
      <c r="B145" s="194">
        <f t="shared" si="52"/>
        <v>2154</v>
      </c>
      <c r="C145" s="29">
        <v>6</v>
      </c>
      <c r="D145" s="191">
        <f t="shared" si="56"/>
        <v>3.6000000000000002E-4</v>
      </c>
      <c r="E145" s="29">
        <v>0</v>
      </c>
      <c r="F145" s="191">
        <f t="shared" si="38"/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191">
        <f t="shared" si="41"/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191">
        <f t="shared" si="42"/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191">
        <f t="shared" si="43"/>
        <v>0</v>
      </c>
      <c r="AD145" s="29">
        <v>0</v>
      </c>
      <c r="AE145" s="29">
        <v>0</v>
      </c>
      <c r="AF145" s="29">
        <v>0</v>
      </c>
      <c r="AG145" s="29">
        <v>0</v>
      </c>
      <c r="AH145" s="191">
        <f t="shared" si="44"/>
        <v>0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191">
        <f t="shared" si="45"/>
        <v>0</v>
      </c>
      <c r="AS145" s="191">
        <f t="shared" si="46"/>
        <v>0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191">
        <f t="shared" si="47"/>
        <v>0</v>
      </c>
      <c r="BA145" s="29">
        <v>0</v>
      </c>
      <c r="BB145" s="29">
        <v>0</v>
      </c>
      <c r="BC145" s="29">
        <v>0</v>
      </c>
      <c r="BD145" s="29">
        <v>0</v>
      </c>
      <c r="BE145" s="29">
        <v>0</v>
      </c>
      <c r="BF145" s="29">
        <v>0</v>
      </c>
      <c r="BG145" s="29">
        <v>0</v>
      </c>
      <c r="BH145" s="29">
        <v>0</v>
      </c>
      <c r="BI145" s="29">
        <v>0</v>
      </c>
      <c r="BJ145" s="191">
        <f t="shared" si="48"/>
        <v>0</v>
      </c>
      <c r="BK145" s="191">
        <f t="shared" si="49"/>
        <v>0</v>
      </c>
      <c r="BL145" s="191">
        <f>$BO$9+SUMPRODUCT($D$10:D145,$BK$10:BK145)</f>
        <v>-10916570.530933687</v>
      </c>
      <c r="BM145" s="30">
        <f t="shared" si="50"/>
        <v>6</v>
      </c>
      <c r="BN145" s="191">
        <f t="shared" si="53"/>
        <v>193843357.97885999</v>
      </c>
      <c r="BO145" s="192">
        <f t="shared" si="51"/>
        <v>3424565990.9598498</v>
      </c>
      <c r="BP145" s="41">
        <f t="shared" si="54"/>
        <v>0</v>
      </c>
      <c r="BQ145" s="41">
        <f t="shared" si="55"/>
        <v>0</v>
      </c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>
      <c r="A146" s="193">
        <f t="shared" si="52"/>
        <v>137</v>
      </c>
      <c r="B146" s="194">
        <f t="shared" si="52"/>
        <v>2155</v>
      </c>
      <c r="C146" s="29">
        <v>6</v>
      </c>
      <c r="D146" s="191">
        <f t="shared" si="56"/>
        <v>3.4000000000000002E-4</v>
      </c>
      <c r="E146" s="29">
        <v>0</v>
      </c>
      <c r="F146" s="191">
        <f t="shared" si="38"/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191">
        <f t="shared" si="41"/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191">
        <f t="shared" si="42"/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9">
        <v>0</v>
      </c>
      <c r="AC146" s="191">
        <f t="shared" si="43"/>
        <v>0</v>
      </c>
      <c r="AD146" s="29">
        <v>0</v>
      </c>
      <c r="AE146" s="29">
        <v>0</v>
      </c>
      <c r="AF146" s="29">
        <v>0</v>
      </c>
      <c r="AG146" s="29">
        <v>0</v>
      </c>
      <c r="AH146" s="191">
        <f t="shared" si="44"/>
        <v>0</v>
      </c>
      <c r="AI146" s="29">
        <v>0</v>
      </c>
      <c r="AJ146" s="29">
        <v>0</v>
      </c>
      <c r="AK146" s="29">
        <v>0</v>
      </c>
      <c r="AL146" s="29">
        <v>0</v>
      </c>
      <c r="AM146" s="29">
        <v>0</v>
      </c>
      <c r="AN146" s="29">
        <v>0</v>
      </c>
      <c r="AO146" s="29">
        <v>0</v>
      </c>
      <c r="AP146" s="29">
        <v>0</v>
      </c>
      <c r="AQ146" s="29">
        <v>0</v>
      </c>
      <c r="AR146" s="191">
        <f t="shared" si="45"/>
        <v>0</v>
      </c>
      <c r="AS146" s="191">
        <f t="shared" si="46"/>
        <v>0</v>
      </c>
      <c r="AT146" s="29">
        <v>0</v>
      </c>
      <c r="AU146" s="29">
        <v>0</v>
      </c>
      <c r="AV146" s="29">
        <v>0</v>
      </c>
      <c r="AW146" s="29">
        <v>0</v>
      </c>
      <c r="AX146" s="29">
        <v>0</v>
      </c>
      <c r="AY146" s="29">
        <v>0</v>
      </c>
      <c r="AZ146" s="191">
        <f t="shared" si="47"/>
        <v>0</v>
      </c>
      <c r="BA146" s="29">
        <v>0</v>
      </c>
      <c r="BB146" s="29">
        <v>0</v>
      </c>
      <c r="BC146" s="29">
        <v>0</v>
      </c>
      <c r="BD146" s="29">
        <v>0</v>
      </c>
      <c r="BE146" s="29">
        <v>0</v>
      </c>
      <c r="BF146" s="29">
        <v>0</v>
      </c>
      <c r="BG146" s="29">
        <v>0</v>
      </c>
      <c r="BH146" s="29">
        <v>0</v>
      </c>
      <c r="BI146" s="29">
        <v>0</v>
      </c>
      <c r="BJ146" s="191">
        <f t="shared" si="48"/>
        <v>0</v>
      </c>
      <c r="BK146" s="191">
        <f t="shared" si="49"/>
        <v>0</v>
      </c>
      <c r="BL146" s="191">
        <f>$BO$9+SUMPRODUCT($D$10:D146,$BK$10:BK146)</f>
        <v>-10916570.530933687</v>
      </c>
      <c r="BM146" s="30">
        <f t="shared" si="50"/>
        <v>6</v>
      </c>
      <c r="BN146" s="191">
        <f t="shared" si="53"/>
        <v>205473959.45759001</v>
      </c>
      <c r="BO146" s="192">
        <f t="shared" si="51"/>
        <v>3630039950.4174399</v>
      </c>
      <c r="BP146" s="41">
        <f t="shared" si="54"/>
        <v>0</v>
      </c>
      <c r="BQ146" s="41">
        <f t="shared" si="55"/>
        <v>0</v>
      </c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>
      <c r="A147" s="193">
        <f t="shared" si="52"/>
        <v>138</v>
      </c>
      <c r="B147" s="194">
        <f t="shared" si="52"/>
        <v>2156</v>
      </c>
      <c r="C147" s="29">
        <v>6</v>
      </c>
      <c r="D147" s="191">
        <f t="shared" si="56"/>
        <v>3.2000000000000003E-4</v>
      </c>
      <c r="E147" s="29">
        <v>0</v>
      </c>
      <c r="F147" s="191">
        <f t="shared" si="38"/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191">
        <f t="shared" si="41"/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191">
        <f t="shared" si="42"/>
        <v>0</v>
      </c>
      <c r="V147" s="29">
        <v>0</v>
      </c>
      <c r="W147" s="29">
        <v>0</v>
      </c>
      <c r="X147" s="29">
        <v>0</v>
      </c>
      <c r="Y147" s="29">
        <v>0</v>
      </c>
      <c r="Z147" s="29">
        <v>0</v>
      </c>
      <c r="AA147" s="29">
        <v>0</v>
      </c>
      <c r="AB147" s="29">
        <v>0</v>
      </c>
      <c r="AC147" s="191">
        <f t="shared" si="43"/>
        <v>0</v>
      </c>
      <c r="AD147" s="29">
        <v>0</v>
      </c>
      <c r="AE147" s="29">
        <v>0</v>
      </c>
      <c r="AF147" s="29">
        <v>0</v>
      </c>
      <c r="AG147" s="29">
        <v>0</v>
      </c>
      <c r="AH147" s="191">
        <f t="shared" si="44"/>
        <v>0</v>
      </c>
      <c r="AI147" s="29">
        <v>0</v>
      </c>
      <c r="AJ147" s="29">
        <v>0</v>
      </c>
      <c r="AK147" s="29">
        <v>0</v>
      </c>
      <c r="AL147" s="29">
        <v>0</v>
      </c>
      <c r="AM147" s="29">
        <v>0</v>
      </c>
      <c r="AN147" s="29">
        <v>0</v>
      </c>
      <c r="AO147" s="29">
        <v>0</v>
      </c>
      <c r="AP147" s="29">
        <v>0</v>
      </c>
      <c r="AQ147" s="29">
        <v>0</v>
      </c>
      <c r="AR147" s="191">
        <f t="shared" si="45"/>
        <v>0</v>
      </c>
      <c r="AS147" s="191">
        <f t="shared" si="46"/>
        <v>0</v>
      </c>
      <c r="AT147" s="29">
        <v>0</v>
      </c>
      <c r="AU147" s="29">
        <v>0</v>
      </c>
      <c r="AV147" s="29">
        <v>0</v>
      </c>
      <c r="AW147" s="29">
        <v>0</v>
      </c>
      <c r="AX147" s="29">
        <v>0</v>
      </c>
      <c r="AY147" s="29">
        <v>0</v>
      </c>
      <c r="AZ147" s="191">
        <f t="shared" si="47"/>
        <v>0</v>
      </c>
      <c r="BA147" s="29">
        <v>0</v>
      </c>
      <c r="BB147" s="29">
        <v>0</v>
      </c>
      <c r="BC147" s="29">
        <v>0</v>
      </c>
      <c r="BD147" s="29">
        <v>0</v>
      </c>
      <c r="BE147" s="29">
        <v>0</v>
      </c>
      <c r="BF147" s="29">
        <v>0</v>
      </c>
      <c r="BG147" s="29">
        <v>0</v>
      </c>
      <c r="BH147" s="29">
        <v>0</v>
      </c>
      <c r="BI147" s="29">
        <v>0</v>
      </c>
      <c r="BJ147" s="191">
        <f t="shared" si="48"/>
        <v>0</v>
      </c>
      <c r="BK147" s="191">
        <f t="shared" si="49"/>
        <v>0</v>
      </c>
      <c r="BL147" s="191">
        <f>$BO$9+SUMPRODUCT($D$10:D147,$BK$10:BK147)</f>
        <v>-10916570.530933687</v>
      </c>
      <c r="BM147" s="30">
        <f t="shared" si="50"/>
        <v>6</v>
      </c>
      <c r="BN147" s="191">
        <f t="shared" si="53"/>
        <v>217802397.02505001</v>
      </c>
      <c r="BO147" s="192">
        <f t="shared" si="51"/>
        <v>3847842347.4424901</v>
      </c>
      <c r="BP147" s="41">
        <f t="shared" si="54"/>
        <v>0</v>
      </c>
      <c r="BQ147" s="41">
        <f t="shared" si="55"/>
        <v>0</v>
      </c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>
      <c r="A148" s="193">
        <f t="shared" si="52"/>
        <v>139</v>
      </c>
      <c r="B148" s="194">
        <f t="shared" si="52"/>
        <v>2157</v>
      </c>
      <c r="C148" s="29">
        <v>6</v>
      </c>
      <c r="D148" s="191">
        <f t="shared" si="56"/>
        <v>2.9999999999999997E-4</v>
      </c>
      <c r="E148" s="29">
        <v>0</v>
      </c>
      <c r="F148" s="191">
        <f t="shared" si="38"/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191">
        <f t="shared" si="41"/>
        <v>0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0</v>
      </c>
      <c r="T148" s="29">
        <v>0</v>
      </c>
      <c r="U148" s="191">
        <f t="shared" si="42"/>
        <v>0</v>
      </c>
      <c r="V148" s="29">
        <v>0</v>
      </c>
      <c r="W148" s="29">
        <v>0</v>
      </c>
      <c r="X148" s="29">
        <v>0</v>
      </c>
      <c r="Y148" s="29">
        <v>0</v>
      </c>
      <c r="Z148" s="29">
        <v>0</v>
      </c>
      <c r="AA148" s="29">
        <v>0</v>
      </c>
      <c r="AB148" s="29">
        <v>0</v>
      </c>
      <c r="AC148" s="191">
        <f t="shared" si="43"/>
        <v>0</v>
      </c>
      <c r="AD148" s="29">
        <v>0</v>
      </c>
      <c r="AE148" s="29">
        <v>0</v>
      </c>
      <c r="AF148" s="29">
        <v>0</v>
      </c>
      <c r="AG148" s="29">
        <v>0</v>
      </c>
      <c r="AH148" s="191">
        <f t="shared" si="44"/>
        <v>0</v>
      </c>
      <c r="AI148" s="29">
        <v>0</v>
      </c>
      <c r="AJ148" s="29">
        <v>0</v>
      </c>
      <c r="AK148" s="29">
        <v>0</v>
      </c>
      <c r="AL148" s="29">
        <v>0</v>
      </c>
      <c r="AM148" s="29">
        <v>0</v>
      </c>
      <c r="AN148" s="29">
        <v>0</v>
      </c>
      <c r="AO148" s="29">
        <v>0</v>
      </c>
      <c r="AP148" s="29">
        <v>0</v>
      </c>
      <c r="AQ148" s="29">
        <v>0</v>
      </c>
      <c r="AR148" s="191">
        <f t="shared" si="45"/>
        <v>0</v>
      </c>
      <c r="AS148" s="191">
        <f t="shared" si="46"/>
        <v>0</v>
      </c>
      <c r="AT148" s="29">
        <v>0</v>
      </c>
      <c r="AU148" s="29">
        <v>0</v>
      </c>
      <c r="AV148" s="29">
        <v>0</v>
      </c>
      <c r="AW148" s="29">
        <v>0</v>
      </c>
      <c r="AX148" s="29">
        <v>0</v>
      </c>
      <c r="AY148" s="29">
        <v>0</v>
      </c>
      <c r="AZ148" s="191">
        <f t="shared" si="47"/>
        <v>0</v>
      </c>
      <c r="BA148" s="29">
        <v>0</v>
      </c>
      <c r="BB148" s="29">
        <v>0</v>
      </c>
      <c r="BC148" s="29">
        <v>0</v>
      </c>
      <c r="BD148" s="29">
        <v>0</v>
      </c>
      <c r="BE148" s="29">
        <v>0</v>
      </c>
      <c r="BF148" s="29">
        <v>0</v>
      </c>
      <c r="BG148" s="29">
        <v>0</v>
      </c>
      <c r="BH148" s="29">
        <v>0</v>
      </c>
      <c r="BI148" s="29">
        <v>0</v>
      </c>
      <c r="BJ148" s="191">
        <f t="shared" si="48"/>
        <v>0</v>
      </c>
      <c r="BK148" s="191">
        <f t="shared" si="49"/>
        <v>0</v>
      </c>
      <c r="BL148" s="191">
        <f>$BO$9+SUMPRODUCT($D$10:D148,$BK$10:BK148)</f>
        <v>-10916570.530933687</v>
      </c>
      <c r="BM148" s="30">
        <f t="shared" si="50"/>
        <v>6</v>
      </c>
      <c r="BN148" s="191">
        <f t="shared" si="53"/>
        <v>230870540.84654999</v>
      </c>
      <c r="BO148" s="192">
        <f t="shared" si="51"/>
        <v>4078712888.2890401</v>
      </c>
      <c r="BP148" s="41">
        <f t="shared" si="54"/>
        <v>0</v>
      </c>
      <c r="BQ148" s="41">
        <f t="shared" si="55"/>
        <v>0</v>
      </c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>
      <c r="A149" s="193">
        <f t="shared" si="52"/>
        <v>140</v>
      </c>
      <c r="B149" s="194">
        <f t="shared" si="52"/>
        <v>2158</v>
      </c>
      <c r="C149" s="29">
        <v>6</v>
      </c>
      <c r="D149" s="191">
        <f t="shared" si="56"/>
        <v>2.7999999999999998E-4</v>
      </c>
      <c r="E149" s="29">
        <v>0</v>
      </c>
      <c r="F149" s="191">
        <f t="shared" si="38"/>
        <v>0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191">
        <f t="shared" si="41"/>
        <v>0</v>
      </c>
      <c r="N149" s="29">
        <v>0</v>
      </c>
      <c r="O149" s="29">
        <v>0</v>
      </c>
      <c r="P149" s="29">
        <v>0</v>
      </c>
      <c r="Q149" s="29">
        <v>0</v>
      </c>
      <c r="R149" s="29">
        <v>0</v>
      </c>
      <c r="S149" s="29">
        <v>0</v>
      </c>
      <c r="T149" s="29">
        <v>0</v>
      </c>
      <c r="U149" s="191">
        <f t="shared" si="42"/>
        <v>0</v>
      </c>
      <c r="V149" s="29">
        <v>0</v>
      </c>
      <c r="W149" s="29">
        <v>0</v>
      </c>
      <c r="X149" s="29">
        <v>0</v>
      </c>
      <c r="Y149" s="29">
        <v>0</v>
      </c>
      <c r="Z149" s="29">
        <v>0</v>
      </c>
      <c r="AA149" s="29">
        <v>0</v>
      </c>
      <c r="AB149" s="29">
        <v>0</v>
      </c>
      <c r="AC149" s="191">
        <f t="shared" si="43"/>
        <v>0</v>
      </c>
      <c r="AD149" s="29">
        <v>0</v>
      </c>
      <c r="AE149" s="29">
        <v>0</v>
      </c>
      <c r="AF149" s="29">
        <v>0</v>
      </c>
      <c r="AG149" s="29">
        <v>0</v>
      </c>
      <c r="AH149" s="191">
        <f t="shared" si="44"/>
        <v>0</v>
      </c>
      <c r="AI149" s="29">
        <v>0</v>
      </c>
      <c r="AJ149" s="29">
        <v>0</v>
      </c>
      <c r="AK149" s="29">
        <v>0</v>
      </c>
      <c r="AL149" s="29">
        <v>0</v>
      </c>
      <c r="AM149" s="29">
        <v>0</v>
      </c>
      <c r="AN149" s="29">
        <v>0</v>
      </c>
      <c r="AO149" s="29">
        <v>0</v>
      </c>
      <c r="AP149" s="29">
        <v>0</v>
      </c>
      <c r="AQ149" s="29">
        <v>0</v>
      </c>
      <c r="AR149" s="191">
        <f t="shared" si="45"/>
        <v>0</v>
      </c>
      <c r="AS149" s="191">
        <f t="shared" si="46"/>
        <v>0</v>
      </c>
      <c r="AT149" s="29">
        <v>0</v>
      </c>
      <c r="AU149" s="29">
        <v>0</v>
      </c>
      <c r="AV149" s="29">
        <v>0</v>
      </c>
      <c r="AW149" s="29">
        <v>0</v>
      </c>
      <c r="AX149" s="29">
        <v>0</v>
      </c>
      <c r="AY149" s="29">
        <v>0</v>
      </c>
      <c r="AZ149" s="191">
        <f t="shared" si="47"/>
        <v>0</v>
      </c>
      <c r="BA149" s="29">
        <v>0</v>
      </c>
      <c r="BB149" s="29">
        <v>0</v>
      </c>
      <c r="BC149" s="29">
        <v>0</v>
      </c>
      <c r="BD149" s="29">
        <v>0</v>
      </c>
      <c r="BE149" s="29">
        <v>0</v>
      </c>
      <c r="BF149" s="29">
        <v>0</v>
      </c>
      <c r="BG149" s="29">
        <v>0</v>
      </c>
      <c r="BH149" s="29">
        <v>0</v>
      </c>
      <c r="BI149" s="29">
        <v>0</v>
      </c>
      <c r="BJ149" s="191">
        <f t="shared" si="48"/>
        <v>0</v>
      </c>
      <c r="BK149" s="191">
        <f t="shared" si="49"/>
        <v>0</v>
      </c>
      <c r="BL149" s="191">
        <f>$BO$9+SUMPRODUCT($D$10:D149,$BK$10:BK149)</f>
        <v>-10916570.530933687</v>
      </c>
      <c r="BM149" s="30">
        <f t="shared" si="50"/>
        <v>6</v>
      </c>
      <c r="BN149" s="191">
        <f t="shared" si="53"/>
        <v>244722773.29734001</v>
      </c>
      <c r="BO149" s="192">
        <f t="shared" si="51"/>
        <v>4323435661.58638</v>
      </c>
      <c r="BP149" s="41">
        <f t="shared" si="54"/>
        <v>0</v>
      </c>
      <c r="BQ149" s="41">
        <f t="shared" si="55"/>
        <v>0</v>
      </c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>
      <c r="A150" s="193">
        <f t="shared" si="52"/>
        <v>141</v>
      </c>
      <c r="B150" s="194">
        <f t="shared" si="52"/>
        <v>2159</v>
      </c>
      <c r="C150" s="29">
        <v>6</v>
      </c>
      <c r="D150" s="191">
        <f t="shared" si="56"/>
        <v>2.5999999999999998E-4</v>
      </c>
      <c r="E150" s="29">
        <v>0</v>
      </c>
      <c r="F150" s="191">
        <f t="shared" si="38"/>
        <v>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191">
        <f t="shared" si="41"/>
        <v>0</v>
      </c>
      <c r="N150" s="29">
        <v>0</v>
      </c>
      <c r="O150" s="29">
        <v>0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191">
        <f t="shared" si="42"/>
        <v>0</v>
      </c>
      <c r="V150" s="29">
        <v>0</v>
      </c>
      <c r="W150" s="29">
        <v>0</v>
      </c>
      <c r="X150" s="29">
        <v>0</v>
      </c>
      <c r="Y150" s="29">
        <v>0</v>
      </c>
      <c r="Z150" s="29">
        <v>0</v>
      </c>
      <c r="AA150" s="29">
        <v>0</v>
      </c>
      <c r="AB150" s="29">
        <v>0</v>
      </c>
      <c r="AC150" s="191">
        <f t="shared" si="43"/>
        <v>0</v>
      </c>
      <c r="AD150" s="29">
        <v>0</v>
      </c>
      <c r="AE150" s="29">
        <v>0</v>
      </c>
      <c r="AF150" s="29">
        <v>0</v>
      </c>
      <c r="AG150" s="29">
        <v>0</v>
      </c>
      <c r="AH150" s="191">
        <f t="shared" si="44"/>
        <v>0</v>
      </c>
      <c r="AI150" s="29">
        <v>0</v>
      </c>
      <c r="AJ150" s="29">
        <v>0</v>
      </c>
      <c r="AK150" s="29">
        <v>0</v>
      </c>
      <c r="AL150" s="29">
        <v>0</v>
      </c>
      <c r="AM150" s="29">
        <v>0</v>
      </c>
      <c r="AN150" s="29">
        <v>0</v>
      </c>
      <c r="AO150" s="29">
        <v>0</v>
      </c>
      <c r="AP150" s="29">
        <v>0</v>
      </c>
      <c r="AQ150" s="29">
        <v>0</v>
      </c>
      <c r="AR150" s="191">
        <f t="shared" si="45"/>
        <v>0</v>
      </c>
      <c r="AS150" s="191">
        <f t="shared" si="46"/>
        <v>0</v>
      </c>
      <c r="AT150" s="29">
        <v>0</v>
      </c>
      <c r="AU150" s="29">
        <v>0</v>
      </c>
      <c r="AV150" s="29">
        <v>0</v>
      </c>
      <c r="AW150" s="29">
        <v>0</v>
      </c>
      <c r="AX150" s="29">
        <v>0</v>
      </c>
      <c r="AY150" s="29">
        <v>0</v>
      </c>
      <c r="AZ150" s="191">
        <f t="shared" si="47"/>
        <v>0</v>
      </c>
      <c r="BA150" s="29">
        <v>0</v>
      </c>
      <c r="BB150" s="29">
        <v>0</v>
      </c>
      <c r="BC150" s="29">
        <v>0</v>
      </c>
      <c r="BD150" s="29">
        <v>0</v>
      </c>
      <c r="BE150" s="29">
        <v>0</v>
      </c>
      <c r="BF150" s="29">
        <v>0</v>
      </c>
      <c r="BG150" s="29">
        <v>0</v>
      </c>
      <c r="BH150" s="29">
        <v>0</v>
      </c>
      <c r="BI150" s="29">
        <v>0</v>
      </c>
      <c r="BJ150" s="191">
        <f t="shared" si="48"/>
        <v>0</v>
      </c>
      <c r="BK150" s="191">
        <f t="shared" si="49"/>
        <v>0</v>
      </c>
      <c r="BL150" s="191">
        <f>$BO$9+SUMPRODUCT($D$10:D150,$BK$10:BK150)</f>
        <v>-10916570.530933687</v>
      </c>
      <c r="BM150" s="30">
        <f t="shared" si="50"/>
        <v>6</v>
      </c>
      <c r="BN150" s="191">
        <f t="shared" si="53"/>
        <v>259406139.69518</v>
      </c>
      <c r="BO150" s="192">
        <f t="shared" si="51"/>
        <v>4582841801.2815599</v>
      </c>
      <c r="BP150" s="41">
        <f t="shared" si="54"/>
        <v>0</v>
      </c>
      <c r="BQ150" s="41">
        <f t="shared" si="55"/>
        <v>0</v>
      </c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  <c r="AMI150"/>
      <c r="AMJ150"/>
    </row>
    <row r="151" spans="1:1024">
      <c r="A151" s="193">
        <f t="shared" si="52"/>
        <v>142</v>
      </c>
      <c r="B151" s="194">
        <f t="shared" si="52"/>
        <v>2160</v>
      </c>
      <c r="C151" s="29">
        <v>6</v>
      </c>
      <c r="D151" s="191">
        <f t="shared" si="56"/>
        <v>2.5000000000000001E-4</v>
      </c>
      <c r="E151" s="29">
        <v>0</v>
      </c>
      <c r="F151" s="191">
        <f t="shared" si="38"/>
        <v>0</v>
      </c>
      <c r="G151" s="29">
        <v>0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191">
        <f t="shared" si="41"/>
        <v>0</v>
      </c>
      <c r="N151" s="29">
        <v>0</v>
      </c>
      <c r="O151" s="29">
        <v>0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191">
        <f t="shared" si="42"/>
        <v>0</v>
      </c>
      <c r="V151" s="29">
        <v>0</v>
      </c>
      <c r="W151" s="29">
        <v>0</v>
      </c>
      <c r="X151" s="29">
        <v>0</v>
      </c>
      <c r="Y151" s="29">
        <v>0</v>
      </c>
      <c r="Z151" s="29">
        <v>0</v>
      </c>
      <c r="AA151" s="29">
        <v>0</v>
      </c>
      <c r="AB151" s="29">
        <v>0</v>
      </c>
      <c r="AC151" s="191">
        <f t="shared" si="43"/>
        <v>0</v>
      </c>
      <c r="AD151" s="29">
        <v>0</v>
      </c>
      <c r="AE151" s="29">
        <v>0</v>
      </c>
      <c r="AF151" s="29">
        <v>0</v>
      </c>
      <c r="AG151" s="29">
        <v>0</v>
      </c>
      <c r="AH151" s="191">
        <f t="shared" si="44"/>
        <v>0</v>
      </c>
      <c r="AI151" s="29">
        <v>0</v>
      </c>
      <c r="AJ151" s="29">
        <v>0</v>
      </c>
      <c r="AK151" s="29">
        <v>0</v>
      </c>
      <c r="AL151" s="29">
        <v>0</v>
      </c>
      <c r="AM151" s="29">
        <v>0</v>
      </c>
      <c r="AN151" s="29">
        <v>0</v>
      </c>
      <c r="AO151" s="29">
        <v>0</v>
      </c>
      <c r="AP151" s="29">
        <v>0</v>
      </c>
      <c r="AQ151" s="29">
        <v>0</v>
      </c>
      <c r="AR151" s="191">
        <f t="shared" si="45"/>
        <v>0</v>
      </c>
      <c r="AS151" s="191">
        <f t="shared" si="46"/>
        <v>0</v>
      </c>
      <c r="AT151" s="29">
        <v>0</v>
      </c>
      <c r="AU151" s="29">
        <v>0</v>
      </c>
      <c r="AV151" s="29">
        <v>0</v>
      </c>
      <c r="AW151" s="29">
        <v>0</v>
      </c>
      <c r="AX151" s="29">
        <v>0</v>
      </c>
      <c r="AY151" s="29">
        <v>0</v>
      </c>
      <c r="AZ151" s="191">
        <f t="shared" si="47"/>
        <v>0</v>
      </c>
      <c r="BA151" s="29">
        <v>0</v>
      </c>
      <c r="BB151" s="29">
        <v>0</v>
      </c>
      <c r="BC151" s="29">
        <v>0</v>
      </c>
      <c r="BD151" s="29">
        <v>0</v>
      </c>
      <c r="BE151" s="29">
        <v>0</v>
      </c>
      <c r="BF151" s="29">
        <v>0</v>
      </c>
      <c r="BG151" s="29">
        <v>0</v>
      </c>
      <c r="BH151" s="29">
        <v>0</v>
      </c>
      <c r="BI151" s="29">
        <v>0</v>
      </c>
      <c r="BJ151" s="191">
        <f t="shared" si="48"/>
        <v>0</v>
      </c>
      <c r="BK151" s="191">
        <f t="shared" si="49"/>
        <v>0</v>
      </c>
      <c r="BL151" s="191">
        <f>$BO$9+SUMPRODUCT($D$10:D151,$BK$10:BK151)</f>
        <v>-10916570.530933687</v>
      </c>
      <c r="BM151" s="30">
        <f t="shared" si="50"/>
        <v>6</v>
      </c>
      <c r="BN151" s="191">
        <f t="shared" si="53"/>
        <v>274970508.07688999</v>
      </c>
      <c r="BO151" s="192">
        <f t="shared" si="51"/>
        <v>4857812309.3584499</v>
      </c>
      <c r="BP151" s="41">
        <f t="shared" si="54"/>
        <v>0</v>
      </c>
      <c r="BQ151" s="41">
        <f t="shared" si="55"/>
        <v>0</v>
      </c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  <c r="AMI151"/>
      <c r="AMJ151"/>
    </row>
    <row r="152" spans="1:1024">
      <c r="A152" s="193">
        <f t="shared" si="52"/>
        <v>143</v>
      </c>
      <c r="B152" s="194">
        <f t="shared" si="52"/>
        <v>2161</v>
      </c>
      <c r="C152" s="29">
        <v>6</v>
      </c>
      <c r="D152" s="191">
        <f t="shared" si="56"/>
        <v>2.4000000000000001E-4</v>
      </c>
      <c r="E152" s="29">
        <v>0</v>
      </c>
      <c r="F152" s="191">
        <f t="shared" si="38"/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191">
        <f t="shared" si="41"/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191">
        <f t="shared" si="42"/>
        <v>0</v>
      </c>
      <c r="V152" s="29">
        <v>0</v>
      </c>
      <c r="W152" s="29">
        <v>0</v>
      </c>
      <c r="X152" s="29">
        <v>0</v>
      </c>
      <c r="Y152" s="29">
        <v>0</v>
      </c>
      <c r="Z152" s="29">
        <v>0</v>
      </c>
      <c r="AA152" s="29">
        <v>0</v>
      </c>
      <c r="AB152" s="29">
        <v>0</v>
      </c>
      <c r="AC152" s="191">
        <f t="shared" si="43"/>
        <v>0</v>
      </c>
      <c r="AD152" s="29">
        <v>0</v>
      </c>
      <c r="AE152" s="29">
        <v>0</v>
      </c>
      <c r="AF152" s="29">
        <v>0</v>
      </c>
      <c r="AG152" s="29">
        <v>0</v>
      </c>
      <c r="AH152" s="191">
        <f t="shared" si="44"/>
        <v>0</v>
      </c>
      <c r="AI152" s="29">
        <v>0</v>
      </c>
      <c r="AJ152" s="29">
        <v>0</v>
      </c>
      <c r="AK152" s="29">
        <v>0</v>
      </c>
      <c r="AL152" s="29">
        <v>0</v>
      </c>
      <c r="AM152" s="29">
        <v>0</v>
      </c>
      <c r="AN152" s="29">
        <v>0</v>
      </c>
      <c r="AO152" s="29">
        <v>0</v>
      </c>
      <c r="AP152" s="29">
        <v>0</v>
      </c>
      <c r="AQ152" s="29">
        <v>0</v>
      </c>
      <c r="AR152" s="191">
        <f t="shared" si="45"/>
        <v>0</v>
      </c>
      <c r="AS152" s="191">
        <f t="shared" si="46"/>
        <v>0</v>
      </c>
      <c r="AT152" s="29">
        <v>0</v>
      </c>
      <c r="AU152" s="29">
        <v>0</v>
      </c>
      <c r="AV152" s="29">
        <v>0</v>
      </c>
      <c r="AW152" s="29">
        <v>0</v>
      </c>
      <c r="AX152" s="29">
        <v>0</v>
      </c>
      <c r="AY152" s="29">
        <v>0</v>
      </c>
      <c r="AZ152" s="191">
        <f t="shared" si="47"/>
        <v>0</v>
      </c>
      <c r="BA152" s="29">
        <v>0</v>
      </c>
      <c r="BB152" s="29">
        <v>0</v>
      </c>
      <c r="BC152" s="29">
        <v>0</v>
      </c>
      <c r="BD152" s="29">
        <v>0</v>
      </c>
      <c r="BE152" s="29">
        <v>0</v>
      </c>
      <c r="BF152" s="29">
        <v>0</v>
      </c>
      <c r="BG152" s="29">
        <v>0</v>
      </c>
      <c r="BH152" s="29">
        <v>0</v>
      </c>
      <c r="BI152" s="29">
        <v>0</v>
      </c>
      <c r="BJ152" s="191">
        <f t="shared" si="48"/>
        <v>0</v>
      </c>
      <c r="BK152" s="191">
        <f t="shared" si="49"/>
        <v>0</v>
      </c>
      <c r="BL152" s="191">
        <f>$BO$9+SUMPRODUCT($D$10:D152,$BK$10:BK152)</f>
        <v>-10916570.530933687</v>
      </c>
      <c r="BM152" s="30">
        <f t="shared" si="50"/>
        <v>6</v>
      </c>
      <c r="BN152" s="191">
        <f t="shared" si="53"/>
        <v>291468738.56151003</v>
      </c>
      <c r="BO152" s="192">
        <f t="shared" si="51"/>
        <v>5149281047.91996</v>
      </c>
      <c r="BP152" s="41">
        <f t="shared" si="54"/>
        <v>0</v>
      </c>
      <c r="BQ152" s="41">
        <f t="shared" si="55"/>
        <v>0</v>
      </c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>
      <c r="A153" s="193">
        <f t="shared" si="52"/>
        <v>144</v>
      </c>
      <c r="B153" s="194">
        <f t="shared" si="52"/>
        <v>2162</v>
      </c>
      <c r="C153" s="29">
        <v>6</v>
      </c>
      <c r="D153" s="191">
        <f t="shared" si="56"/>
        <v>2.3000000000000001E-4</v>
      </c>
      <c r="E153" s="29">
        <v>0</v>
      </c>
      <c r="F153" s="191">
        <f t="shared" si="38"/>
        <v>0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191">
        <f t="shared" si="41"/>
        <v>0</v>
      </c>
      <c r="N153" s="29">
        <v>0</v>
      </c>
      <c r="O153" s="29">
        <v>0</v>
      </c>
      <c r="P153" s="29">
        <v>0</v>
      </c>
      <c r="Q153" s="29">
        <v>0</v>
      </c>
      <c r="R153" s="29">
        <v>0</v>
      </c>
      <c r="S153" s="29">
        <v>0</v>
      </c>
      <c r="T153" s="29">
        <v>0</v>
      </c>
      <c r="U153" s="191">
        <f t="shared" si="42"/>
        <v>0</v>
      </c>
      <c r="V153" s="29">
        <v>0</v>
      </c>
      <c r="W153" s="29">
        <v>0</v>
      </c>
      <c r="X153" s="29">
        <v>0</v>
      </c>
      <c r="Y153" s="29">
        <v>0</v>
      </c>
      <c r="Z153" s="29">
        <v>0</v>
      </c>
      <c r="AA153" s="29">
        <v>0</v>
      </c>
      <c r="AB153" s="29">
        <v>0</v>
      </c>
      <c r="AC153" s="191">
        <f t="shared" si="43"/>
        <v>0</v>
      </c>
      <c r="AD153" s="29">
        <v>0</v>
      </c>
      <c r="AE153" s="29">
        <v>0</v>
      </c>
      <c r="AF153" s="29">
        <v>0</v>
      </c>
      <c r="AG153" s="29">
        <v>0</v>
      </c>
      <c r="AH153" s="191">
        <f t="shared" si="44"/>
        <v>0</v>
      </c>
      <c r="AI153" s="29">
        <v>0</v>
      </c>
      <c r="AJ153" s="29">
        <v>0</v>
      </c>
      <c r="AK153" s="29">
        <v>0</v>
      </c>
      <c r="AL153" s="29">
        <v>0</v>
      </c>
      <c r="AM153" s="29">
        <v>0</v>
      </c>
      <c r="AN153" s="29">
        <v>0</v>
      </c>
      <c r="AO153" s="29">
        <v>0</v>
      </c>
      <c r="AP153" s="29">
        <v>0</v>
      </c>
      <c r="AQ153" s="29">
        <v>0</v>
      </c>
      <c r="AR153" s="191">
        <f t="shared" si="45"/>
        <v>0</v>
      </c>
      <c r="AS153" s="191">
        <f t="shared" si="46"/>
        <v>0</v>
      </c>
      <c r="AT153" s="29">
        <v>0</v>
      </c>
      <c r="AU153" s="29">
        <v>0</v>
      </c>
      <c r="AV153" s="29">
        <v>0</v>
      </c>
      <c r="AW153" s="29">
        <v>0</v>
      </c>
      <c r="AX153" s="29">
        <v>0</v>
      </c>
      <c r="AY153" s="29">
        <v>0</v>
      </c>
      <c r="AZ153" s="191">
        <f t="shared" si="47"/>
        <v>0</v>
      </c>
      <c r="BA153" s="29">
        <v>0</v>
      </c>
      <c r="BB153" s="29">
        <v>0</v>
      </c>
      <c r="BC153" s="29">
        <v>0</v>
      </c>
      <c r="BD153" s="29">
        <v>0</v>
      </c>
      <c r="BE153" s="29">
        <v>0</v>
      </c>
      <c r="BF153" s="29">
        <v>0</v>
      </c>
      <c r="BG153" s="29">
        <v>0</v>
      </c>
      <c r="BH153" s="29">
        <v>0</v>
      </c>
      <c r="BI153" s="29">
        <v>0</v>
      </c>
      <c r="BJ153" s="191">
        <f t="shared" si="48"/>
        <v>0</v>
      </c>
      <c r="BK153" s="191">
        <f t="shared" si="49"/>
        <v>0</v>
      </c>
      <c r="BL153" s="191">
        <f>$BO$9+SUMPRODUCT($D$10:D153,$BK$10:BK153)</f>
        <v>-10916570.530933687</v>
      </c>
      <c r="BM153" s="30">
        <f t="shared" si="50"/>
        <v>6</v>
      </c>
      <c r="BN153" s="191">
        <f t="shared" si="53"/>
        <v>308956862.87519997</v>
      </c>
      <c r="BO153" s="192">
        <f t="shared" si="51"/>
        <v>5458237910.7951603</v>
      </c>
      <c r="BP153" s="41">
        <f t="shared" si="54"/>
        <v>0</v>
      </c>
      <c r="BQ153" s="41">
        <f t="shared" si="55"/>
        <v>0</v>
      </c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>
      <c r="A154" s="193">
        <f t="shared" si="52"/>
        <v>145</v>
      </c>
      <c r="B154" s="194">
        <f t="shared" si="52"/>
        <v>2163</v>
      </c>
      <c r="C154" s="29">
        <v>6</v>
      </c>
      <c r="D154" s="191">
        <f t="shared" si="56"/>
        <v>2.2000000000000001E-4</v>
      </c>
      <c r="E154" s="29">
        <v>0</v>
      </c>
      <c r="F154" s="191">
        <f t="shared" si="38"/>
        <v>0</v>
      </c>
      <c r="G154" s="29">
        <v>0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191">
        <f t="shared" si="41"/>
        <v>0</v>
      </c>
      <c r="N154" s="29">
        <v>0</v>
      </c>
      <c r="O154" s="29">
        <v>0</v>
      </c>
      <c r="P154" s="29">
        <v>0</v>
      </c>
      <c r="Q154" s="29">
        <v>0</v>
      </c>
      <c r="R154" s="29">
        <v>0</v>
      </c>
      <c r="S154" s="29">
        <v>0</v>
      </c>
      <c r="T154" s="29">
        <v>0</v>
      </c>
      <c r="U154" s="191">
        <f t="shared" si="42"/>
        <v>0</v>
      </c>
      <c r="V154" s="29">
        <v>0</v>
      </c>
      <c r="W154" s="29">
        <v>0</v>
      </c>
      <c r="X154" s="29">
        <v>0</v>
      </c>
      <c r="Y154" s="29">
        <v>0</v>
      </c>
      <c r="Z154" s="29">
        <v>0</v>
      </c>
      <c r="AA154" s="29">
        <v>0</v>
      </c>
      <c r="AB154" s="29">
        <v>0</v>
      </c>
      <c r="AC154" s="191">
        <f t="shared" si="43"/>
        <v>0</v>
      </c>
      <c r="AD154" s="29">
        <v>0</v>
      </c>
      <c r="AE154" s="29">
        <v>0</v>
      </c>
      <c r="AF154" s="29">
        <v>0</v>
      </c>
      <c r="AG154" s="29">
        <v>0</v>
      </c>
      <c r="AH154" s="191">
        <f t="shared" si="44"/>
        <v>0</v>
      </c>
      <c r="AI154" s="29">
        <v>0</v>
      </c>
      <c r="AJ154" s="29">
        <v>0</v>
      </c>
      <c r="AK154" s="29">
        <v>0</v>
      </c>
      <c r="AL154" s="29">
        <v>0</v>
      </c>
      <c r="AM154" s="29">
        <v>0</v>
      </c>
      <c r="AN154" s="29">
        <v>0</v>
      </c>
      <c r="AO154" s="29">
        <v>0</v>
      </c>
      <c r="AP154" s="29">
        <v>0</v>
      </c>
      <c r="AQ154" s="29">
        <v>0</v>
      </c>
      <c r="AR154" s="191">
        <f t="shared" si="45"/>
        <v>0</v>
      </c>
      <c r="AS154" s="191">
        <f t="shared" si="46"/>
        <v>0</v>
      </c>
      <c r="AT154" s="29">
        <v>0</v>
      </c>
      <c r="AU154" s="29">
        <v>0</v>
      </c>
      <c r="AV154" s="29">
        <v>0</v>
      </c>
      <c r="AW154" s="29">
        <v>0</v>
      </c>
      <c r="AX154" s="29">
        <v>0</v>
      </c>
      <c r="AY154" s="29">
        <v>0</v>
      </c>
      <c r="AZ154" s="191">
        <f t="shared" si="47"/>
        <v>0</v>
      </c>
      <c r="BA154" s="29">
        <v>0</v>
      </c>
      <c r="BB154" s="29">
        <v>0</v>
      </c>
      <c r="BC154" s="29">
        <v>0</v>
      </c>
      <c r="BD154" s="29">
        <v>0</v>
      </c>
      <c r="BE154" s="29">
        <v>0</v>
      </c>
      <c r="BF154" s="29">
        <v>0</v>
      </c>
      <c r="BG154" s="29">
        <v>0</v>
      </c>
      <c r="BH154" s="29">
        <v>0</v>
      </c>
      <c r="BI154" s="29">
        <v>0</v>
      </c>
      <c r="BJ154" s="191">
        <f t="shared" si="48"/>
        <v>0</v>
      </c>
      <c r="BK154" s="191">
        <f t="shared" si="49"/>
        <v>0</v>
      </c>
      <c r="BL154" s="191">
        <f>$BO$9+SUMPRODUCT($D$10:D154,$BK$10:BK154)</f>
        <v>-10916570.530933687</v>
      </c>
      <c r="BM154" s="30">
        <f t="shared" si="50"/>
        <v>6</v>
      </c>
      <c r="BN154" s="191">
        <f t="shared" si="53"/>
        <v>327494274.64771003</v>
      </c>
      <c r="BO154" s="192">
        <f t="shared" si="51"/>
        <v>5785732185.4428701</v>
      </c>
      <c r="BP154" s="41">
        <f t="shared" si="54"/>
        <v>0</v>
      </c>
      <c r="BQ154" s="41">
        <f t="shared" si="55"/>
        <v>0</v>
      </c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  <c r="AMI154"/>
      <c r="AMJ154"/>
    </row>
    <row r="155" spans="1:1024">
      <c r="A155" s="193">
        <f t="shared" ref="A155:B159" si="57">A154+1</f>
        <v>146</v>
      </c>
      <c r="B155" s="194">
        <f t="shared" si="57"/>
        <v>2164</v>
      </c>
      <c r="C155" s="29">
        <v>6</v>
      </c>
      <c r="D155" s="191">
        <f t="shared" si="56"/>
        <v>2.1000000000000001E-4</v>
      </c>
      <c r="E155" s="29">
        <v>0</v>
      </c>
      <c r="F155" s="191">
        <f t="shared" si="38"/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191">
        <f t="shared" si="41"/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191">
        <f t="shared" si="42"/>
        <v>0</v>
      </c>
      <c r="V155" s="29">
        <v>0</v>
      </c>
      <c r="W155" s="29">
        <v>0</v>
      </c>
      <c r="X155" s="29">
        <v>0</v>
      </c>
      <c r="Y155" s="29">
        <v>0</v>
      </c>
      <c r="Z155" s="29">
        <v>0</v>
      </c>
      <c r="AA155" s="29">
        <v>0</v>
      </c>
      <c r="AB155" s="29">
        <v>0</v>
      </c>
      <c r="AC155" s="191">
        <f t="shared" si="43"/>
        <v>0</v>
      </c>
      <c r="AD155" s="29">
        <v>0</v>
      </c>
      <c r="AE155" s="29">
        <v>0</v>
      </c>
      <c r="AF155" s="29">
        <v>0</v>
      </c>
      <c r="AG155" s="29">
        <v>0</v>
      </c>
      <c r="AH155" s="191">
        <f t="shared" si="44"/>
        <v>0</v>
      </c>
      <c r="AI155" s="29">
        <v>0</v>
      </c>
      <c r="AJ155" s="29">
        <v>0</v>
      </c>
      <c r="AK155" s="29">
        <v>0</v>
      </c>
      <c r="AL155" s="29">
        <v>0</v>
      </c>
      <c r="AM155" s="29">
        <v>0</v>
      </c>
      <c r="AN155" s="29">
        <v>0</v>
      </c>
      <c r="AO155" s="29">
        <v>0</v>
      </c>
      <c r="AP155" s="29">
        <v>0</v>
      </c>
      <c r="AQ155" s="29">
        <v>0</v>
      </c>
      <c r="AR155" s="191">
        <f t="shared" si="45"/>
        <v>0</v>
      </c>
      <c r="AS155" s="191">
        <f t="shared" si="46"/>
        <v>0</v>
      </c>
      <c r="AT155" s="29">
        <v>0</v>
      </c>
      <c r="AU155" s="29">
        <v>0</v>
      </c>
      <c r="AV155" s="29">
        <v>0</v>
      </c>
      <c r="AW155" s="29">
        <v>0</v>
      </c>
      <c r="AX155" s="29">
        <v>0</v>
      </c>
      <c r="AY155" s="29">
        <v>0</v>
      </c>
      <c r="AZ155" s="191">
        <f t="shared" si="47"/>
        <v>0</v>
      </c>
      <c r="BA155" s="29">
        <v>0</v>
      </c>
      <c r="BB155" s="29">
        <v>0</v>
      </c>
      <c r="BC155" s="29">
        <v>0</v>
      </c>
      <c r="BD155" s="29">
        <v>0</v>
      </c>
      <c r="BE155" s="29">
        <v>0</v>
      </c>
      <c r="BF155" s="29">
        <v>0</v>
      </c>
      <c r="BG155" s="29">
        <v>0</v>
      </c>
      <c r="BH155" s="29">
        <v>0</v>
      </c>
      <c r="BI155" s="29">
        <v>0</v>
      </c>
      <c r="BJ155" s="191">
        <f t="shared" si="48"/>
        <v>0</v>
      </c>
      <c r="BK155" s="191">
        <f t="shared" si="49"/>
        <v>0</v>
      </c>
      <c r="BL155" s="191">
        <f>$BO$9+SUMPRODUCT($D$10:D155,$BK$10:BK155)</f>
        <v>-10916570.530933687</v>
      </c>
      <c r="BM155" s="30">
        <f t="shared" si="50"/>
        <v>6</v>
      </c>
      <c r="BN155" s="191">
        <f t="shared" si="53"/>
        <v>347143931.12656999</v>
      </c>
      <c r="BO155" s="192">
        <f t="shared" si="51"/>
        <v>6132876116.5694399</v>
      </c>
      <c r="BP155" s="41">
        <f t="shared" si="54"/>
        <v>0</v>
      </c>
      <c r="BQ155" s="41">
        <f t="shared" si="55"/>
        <v>0</v>
      </c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4">
      <c r="A156" s="193">
        <f t="shared" si="57"/>
        <v>147</v>
      </c>
      <c r="B156" s="194">
        <f t="shared" si="57"/>
        <v>2165</v>
      </c>
      <c r="C156" s="29">
        <v>6</v>
      </c>
      <c r="D156" s="191">
        <f t="shared" si="56"/>
        <v>2.0000000000000001E-4</v>
      </c>
      <c r="E156" s="29">
        <v>0</v>
      </c>
      <c r="F156" s="191">
        <f t="shared" si="38"/>
        <v>0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191">
        <f t="shared" si="41"/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191">
        <f t="shared" si="42"/>
        <v>0</v>
      </c>
      <c r="V156" s="29">
        <v>0</v>
      </c>
      <c r="W156" s="29">
        <v>0</v>
      </c>
      <c r="X156" s="29">
        <v>0</v>
      </c>
      <c r="Y156" s="29">
        <v>0</v>
      </c>
      <c r="Z156" s="29">
        <v>0</v>
      </c>
      <c r="AA156" s="29">
        <v>0</v>
      </c>
      <c r="AB156" s="29">
        <v>0</v>
      </c>
      <c r="AC156" s="191">
        <f t="shared" si="43"/>
        <v>0</v>
      </c>
      <c r="AD156" s="29">
        <v>0</v>
      </c>
      <c r="AE156" s="29">
        <v>0</v>
      </c>
      <c r="AF156" s="29">
        <v>0</v>
      </c>
      <c r="AG156" s="29">
        <v>0</v>
      </c>
      <c r="AH156" s="191">
        <f t="shared" si="44"/>
        <v>0</v>
      </c>
      <c r="AI156" s="29">
        <v>0</v>
      </c>
      <c r="AJ156" s="29">
        <v>0</v>
      </c>
      <c r="AK156" s="29">
        <v>0</v>
      </c>
      <c r="AL156" s="29">
        <v>0</v>
      </c>
      <c r="AM156" s="29">
        <v>0</v>
      </c>
      <c r="AN156" s="29">
        <v>0</v>
      </c>
      <c r="AO156" s="29">
        <v>0</v>
      </c>
      <c r="AP156" s="29">
        <v>0</v>
      </c>
      <c r="AQ156" s="29">
        <v>0</v>
      </c>
      <c r="AR156" s="191">
        <f t="shared" si="45"/>
        <v>0</v>
      </c>
      <c r="AS156" s="191">
        <f t="shared" si="46"/>
        <v>0</v>
      </c>
      <c r="AT156" s="29">
        <v>0</v>
      </c>
      <c r="AU156" s="29">
        <v>0</v>
      </c>
      <c r="AV156" s="29">
        <v>0</v>
      </c>
      <c r="AW156" s="29">
        <v>0</v>
      </c>
      <c r="AX156" s="29">
        <v>0</v>
      </c>
      <c r="AY156" s="29">
        <v>0</v>
      </c>
      <c r="AZ156" s="191">
        <f t="shared" si="47"/>
        <v>0</v>
      </c>
      <c r="BA156" s="29">
        <v>0</v>
      </c>
      <c r="BB156" s="29">
        <v>0</v>
      </c>
      <c r="BC156" s="29">
        <v>0</v>
      </c>
      <c r="BD156" s="29">
        <v>0</v>
      </c>
      <c r="BE156" s="29">
        <v>0</v>
      </c>
      <c r="BF156" s="29">
        <v>0</v>
      </c>
      <c r="BG156" s="29">
        <v>0</v>
      </c>
      <c r="BH156" s="29">
        <v>0</v>
      </c>
      <c r="BI156" s="29">
        <v>0</v>
      </c>
      <c r="BJ156" s="191">
        <f t="shared" si="48"/>
        <v>0</v>
      </c>
      <c r="BK156" s="191">
        <f t="shared" si="49"/>
        <v>0</v>
      </c>
      <c r="BL156" s="191">
        <f>$BO$9+SUMPRODUCT($D$10:D156,$BK$10:BK156)</f>
        <v>-10916570.530933687</v>
      </c>
      <c r="BM156" s="30">
        <f t="shared" si="50"/>
        <v>6</v>
      </c>
      <c r="BN156" s="191">
        <f t="shared" si="53"/>
        <v>367972566.99417001</v>
      </c>
      <c r="BO156" s="192">
        <f t="shared" si="51"/>
        <v>6500848683.5636101</v>
      </c>
      <c r="BP156" s="41">
        <f t="shared" si="54"/>
        <v>0</v>
      </c>
      <c r="BQ156" s="41">
        <f t="shared" si="55"/>
        <v>0</v>
      </c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4">
      <c r="A157" s="193">
        <f t="shared" si="57"/>
        <v>148</v>
      </c>
      <c r="B157" s="194">
        <f t="shared" si="57"/>
        <v>2166</v>
      </c>
      <c r="C157" s="29">
        <v>6</v>
      </c>
      <c r="D157" s="191">
        <f t="shared" si="56"/>
        <v>1.9000000000000001E-4</v>
      </c>
      <c r="E157" s="29">
        <v>0</v>
      </c>
      <c r="F157" s="191">
        <f t="shared" si="38"/>
        <v>0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191">
        <f t="shared" si="41"/>
        <v>0</v>
      </c>
      <c r="N157" s="29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191">
        <f t="shared" si="42"/>
        <v>0</v>
      </c>
      <c r="V157" s="29">
        <v>0</v>
      </c>
      <c r="W157" s="29">
        <v>0</v>
      </c>
      <c r="X157" s="29">
        <v>0</v>
      </c>
      <c r="Y157" s="29">
        <v>0</v>
      </c>
      <c r="Z157" s="29">
        <v>0</v>
      </c>
      <c r="AA157" s="29">
        <v>0</v>
      </c>
      <c r="AB157" s="29">
        <v>0</v>
      </c>
      <c r="AC157" s="191">
        <f t="shared" si="43"/>
        <v>0</v>
      </c>
      <c r="AD157" s="29">
        <v>0</v>
      </c>
      <c r="AE157" s="29">
        <v>0</v>
      </c>
      <c r="AF157" s="29">
        <v>0</v>
      </c>
      <c r="AG157" s="29">
        <v>0</v>
      </c>
      <c r="AH157" s="191">
        <f t="shared" si="44"/>
        <v>0</v>
      </c>
      <c r="AI157" s="29">
        <v>0</v>
      </c>
      <c r="AJ157" s="29">
        <v>0</v>
      </c>
      <c r="AK157" s="29">
        <v>0</v>
      </c>
      <c r="AL157" s="29">
        <v>0</v>
      </c>
      <c r="AM157" s="29">
        <v>0</v>
      </c>
      <c r="AN157" s="29">
        <v>0</v>
      </c>
      <c r="AO157" s="29">
        <v>0</v>
      </c>
      <c r="AP157" s="29">
        <v>0</v>
      </c>
      <c r="AQ157" s="29">
        <v>0</v>
      </c>
      <c r="AR157" s="191">
        <f t="shared" si="45"/>
        <v>0</v>
      </c>
      <c r="AS157" s="191">
        <f t="shared" si="46"/>
        <v>0</v>
      </c>
      <c r="AT157" s="29">
        <v>0</v>
      </c>
      <c r="AU157" s="29">
        <v>0</v>
      </c>
      <c r="AV157" s="29">
        <v>0</v>
      </c>
      <c r="AW157" s="29">
        <v>0</v>
      </c>
      <c r="AX157" s="29">
        <v>0</v>
      </c>
      <c r="AY157" s="29">
        <v>0</v>
      </c>
      <c r="AZ157" s="191">
        <f t="shared" si="47"/>
        <v>0</v>
      </c>
      <c r="BA157" s="29">
        <v>0</v>
      </c>
      <c r="BB157" s="29">
        <v>0</v>
      </c>
      <c r="BC157" s="29">
        <v>0</v>
      </c>
      <c r="BD157" s="29">
        <v>0</v>
      </c>
      <c r="BE157" s="29">
        <v>0</v>
      </c>
      <c r="BF157" s="29">
        <v>0</v>
      </c>
      <c r="BG157" s="29">
        <v>0</v>
      </c>
      <c r="BH157" s="29">
        <v>0</v>
      </c>
      <c r="BI157" s="29">
        <v>0</v>
      </c>
      <c r="BJ157" s="191">
        <f t="shared" si="48"/>
        <v>0</v>
      </c>
      <c r="BK157" s="191">
        <f t="shared" si="49"/>
        <v>0</v>
      </c>
      <c r="BL157" s="191">
        <f>$BO$9+SUMPRODUCT($D$10:D157,$BK$10:BK157)</f>
        <v>-10916570.530933687</v>
      </c>
      <c r="BM157" s="30">
        <f t="shared" si="50"/>
        <v>6</v>
      </c>
      <c r="BN157" s="191">
        <f t="shared" si="53"/>
        <v>390050921.01381999</v>
      </c>
      <c r="BO157" s="192">
        <f t="shared" si="51"/>
        <v>6890899604.5774298</v>
      </c>
      <c r="BP157" s="41">
        <f t="shared" si="54"/>
        <v>0</v>
      </c>
      <c r="BQ157" s="41">
        <f t="shared" si="55"/>
        <v>0</v>
      </c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4">
      <c r="A158" s="193">
        <f t="shared" si="57"/>
        <v>149</v>
      </c>
      <c r="B158" s="194">
        <f t="shared" si="57"/>
        <v>2167</v>
      </c>
      <c r="C158" s="29">
        <v>6</v>
      </c>
      <c r="D158" s="191">
        <f t="shared" si="56"/>
        <v>1.8000000000000001E-4</v>
      </c>
      <c r="E158" s="29">
        <v>0</v>
      </c>
      <c r="F158" s="191">
        <f t="shared" si="38"/>
        <v>0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191">
        <f t="shared" si="41"/>
        <v>0</v>
      </c>
      <c r="N158" s="29">
        <v>0</v>
      </c>
      <c r="O158" s="29">
        <v>0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191">
        <f t="shared" si="42"/>
        <v>0</v>
      </c>
      <c r="V158" s="29">
        <v>0</v>
      </c>
      <c r="W158" s="29">
        <v>0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191">
        <f t="shared" si="43"/>
        <v>0</v>
      </c>
      <c r="AD158" s="29">
        <v>0</v>
      </c>
      <c r="AE158" s="29">
        <v>0</v>
      </c>
      <c r="AF158" s="29">
        <v>0</v>
      </c>
      <c r="AG158" s="29">
        <v>0</v>
      </c>
      <c r="AH158" s="191">
        <f t="shared" si="44"/>
        <v>0</v>
      </c>
      <c r="AI158" s="29">
        <v>0</v>
      </c>
      <c r="AJ158" s="29">
        <v>0</v>
      </c>
      <c r="AK158" s="29">
        <v>0</v>
      </c>
      <c r="AL158" s="29">
        <v>0</v>
      </c>
      <c r="AM158" s="29">
        <v>0</v>
      </c>
      <c r="AN158" s="29">
        <v>0</v>
      </c>
      <c r="AO158" s="29">
        <v>0</v>
      </c>
      <c r="AP158" s="29">
        <v>0</v>
      </c>
      <c r="AQ158" s="29">
        <v>0</v>
      </c>
      <c r="AR158" s="191">
        <f t="shared" si="45"/>
        <v>0</v>
      </c>
      <c r="AS158" s="191">
        <f t="shared" si="46"/>
        <v>0</v>
      </c>
      <c r="AT158" s="29">
        <v>0</v>
      </c>
      <c r="AU158" s="29">
        <v>0</v>
      </c>
      <c r="AV158" s="29">
        <v>0</v>
      </c>
      <c r="AW158" s="29">
        <v>0</v>
      </c>
      <c r="AX158" s="29">
        <v>0</v>
      </c>
      <c r="AY158" s="29">
        <v>0</v>
      </c>
      <c r="AZ158" s="191">
        <f t="shared" si="47"/>
        <v>0</v>
      </c>
      <c r="BA158" s="29">
        <v>0</v>
      </c>
      <c r="BB158" s="29">
        <v>0</v>
      </c>
      <c r="BC158" s="29">
        <v>0</v>
      </c>
      <c r="BD158" s="29">
        <v>0</v>
      </c>
      <c r="BE158" s="29">
        <v>0</v>
      </c>
      <c r="BF158" s="29">
        <v>0</v>
      </c>
      <c r="BG158" s="29">
        <v>0</v>
      </c>
      <c r="BH158" s="29">
        <v>0</v>
      </c>
      <c r="BI158" s="29">
        <v>0</v>
      </c>
      <c r="BJ158" s="191">
        <f t="shared" si="48"/>
        <v>0</v>
      </c>
      <c r="BK158" s="191">
        <f t="shared" si="49"/>
        <v>0</v>
      </c>
      <c r="BL158" s="191">
        <f>$BO$9+SUMPRODUCT($D$10:D158,$BK$10:BK158)</f>
        <v>-10916570.530933687</v>
      </c>
      <c r="BM158" s="30">
        <f t="shared" si="50"/>
        <v>6</v>
      </c>
      <c r="BN158" s="191">
        <f t="shared" si="53"/>
        <v>413453976.27464998</v>
      </c>
      <c r="BO158" s="192">
        <f t="shared" si="51"/>
        <v>7304353580.8520803</v>
      </c>
      <c r="BP158" s="41">
        <f t="shared" si="54"/>
        <v>0</v>
      </c>
      <c r="BQ158" s="41">
        <f t="shared" si="55"/>
        <v>0</v>
      </c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  <c r="AMI158"/>
      <c r="AMJ158"/>
    </row>
    <row r="159" spans="1:1024" ht="16.5" thickBot="1">
      <c r="A159" s="195">
        <f t="shared" si="57"/>
        <v>150</v>
      </c>
      <c r="B159" s="196">
        <f t="shared" si="57"/>
        <v>2168</v>
      </c>
      <c r="C159" s="29">
        <v>6</v>
      </c>
      <c r="D159" s="191">
        <f t="shared" ref="D159" si="58">(1+C159/100)^-1*D158</f>
        <v>1.6981132075471697E-4</v>
      </c>
      <c r="E159" s="29">
        <v>0</v>
      </c>
      <c r="F159" s="191">
        <f t="shared" si="38"/>
        <v>0</v>
      </c>
      <c r="G159" s="197">
        <v>0</v>
      </c>
      <c r="H159" s="197">
        <v>0</v>
      </c>
      <c r="I159" s="197">
        <v>0</v>
      </c>
      <c r="J159" s="197">
        <v>0</v>
      </c>
      <c r="K159" s="197">
        <v>0</v>
      </c>
      <c r="L159" s="197">
        <v>0</v>
      </c>
      <c r="M159" s="191">
        <f t="shared" si="41"/>
        <v>0</v>
      </c>
      <c r="N159" s="197">
        <v>0</v>
      </c>
      <c r="O159" s="197">
        <v>0</v>
      </c>
      <c r="P159" s="197">
        <v>0</v>
      </c>
      <c r="Q159" s="197">
        <v>0</v>
      </c>
      <c r="R159" s="197">
        <v>0</v>
      </c>
      <c r="S159" s="197">
        <v>0</v>
      </c>
      <c r="T159" s="197">
        <v>0</v>
      </c>
      <c r="U159" s="191">
        <f t="shared" si="42"/>
        <v>0</v>
      </c>
      <c r="V159" s="197">
        <v>0</v>
      </c>
      <c r="W159" s="197">
        <v>0</v>
      </c>
      <c r="X159" s="197">
        <v>0</v>
      </c>
      <c r="Y159" s="197">
        <v>0</v>
      </c>
      <c r="Z159" s="197">
        <v>0</v>
      </c>
      <c r="AA159" s="197">
        <v>0</v>
      </c>
      <c r="AB159" s="197">
        <v>0</v>
      </c>
      <c r="AC159" s="191">
        <f t="shared" si="43"/>
        <v>0</v>
      </c>
      <c r="AD159" s="197">
        <v>0</v>
      </c>
      <c r="AE159" s="197">
        <v>0</v>
      </c>
      <c r="AF159" s="197">
        <v>0</v>
      </c>
      <c r="AG159" s="197">
        <v>0</v>
      </c>
      <c r="AH159" s="191">
        <f t="shared" si="44"/>
        <v>0</v>
      </c>
      <c r="AI159" s="197">
        <v>0</v>
      </c>
      <c r="AJ159" s="197">
        <v>0</v>
      </c>
      <c r="AK159" s="197">
        <v>0</v>
      </c>
      <c r="AL159" s="197">
        <v>0</v>
      </c>
      <c r="AM159" s="197">
        <v>0</v>
      </c>
      <c r="AN159" s="197">
        <v>0</v>
      </c>
      <c r="AO159" s="197">
        <v>0</v>
      </c>
      <c r="AP159" s="197">
        <v>0</v>
      </c>
      <c r="AQ159" s="197">
        <v>0</v>
      </c>
      <c r="AR159" s="191">
        <f t="shared" si="45"/>
        <v>0</v>
      </c>
      <c r="AS159" s="191">
        <f t="shared" si="46"/>
        <v>0</v>
      </c>
      <c r="AT159" s="197">
        <v>0</v>
      </c>
      <c r="AU159" s="197">
        <v>0</v>
      </c>
      <c r="AV159" s="197">
        <v>0</v>
      </c>
      <c r="AW159" s="197">
        <v>0</v>
      </c>
      <c r="AX159" s="197">
        <v>0</v>
      </c>
      <c r="AY159" s="197">
        <v>0</v>
      </c>
      <c r="AZ159" s="191">
        <f t="shared" si="47"/>
        <v>0</v>
      </c>
      <c r="BA159" s="197">
        <v>0</v>
      </c>
      <c r="BB159" s="197">
        <v>0</v>
      </c>
      <c r="BC159" s="197">
        <v>0</v>
      </c>
      <c r="BD159" s="197">
        <v>0</v>
      </c>
      <c r="BE159" s="197">
        <v>0</v>
      </c>
      <c r="BF159" s="197">
        <v>0</v>
      </c>
      <c r="BG159" s="197">
        <v>0</v>
      </c>
      <c r="BH159" s="197">
        <v>0</v>
      </c>
      <c r="BI159" s="197">
        <v>0</v>
      </c>
      <c r="BJ159" s="191">
        <f t="shared" si="48"/>
        <v>0</v>
      </c>
      <c r="BK159" s="191">
        <f t="shared" si="49"/>
        <v>0</v>
      </c>
      <c r="BL159" s="191">
        <f>$BO$9+SUMPRODUCT($D$10:D159,$BK$10:BK159)</f>
        <v>-10916570.530933687</v>
      </c>
      <c r="BM159" s="30">
        <f t="shared" si="50"/>
        <v>6</v>
      </c>
      <c r="BN159" s="191">
        <f t="shared" si="53"/>
        <v>438261214.85113001</v>
      </c>
      <c r="BO159" s="192">
        <f t="shared" si="51"/>
        <v>7742614795.7032099</v>
      </c>
      <c r="BP159" s="41">
        <f t="shared" si="54"/>
        <v>0</v>
      </c>
      <c r="BQ159" s="41">
        <f t="shared" si="55"/>
        <v>0</v>
      </c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</row>
    <row r="160" spans="1:1024" s="206" customFormat="1" ht="16.5" thickBot="1">
      <c r="A160" s="198" t="s">
        <v>76</v>
      </c>
      <c r="B160" s="199"/>
      <c r="C160" s="200"/>
      <c r="D160" s="201"/>
      <c r="E160" s="202">
        <f t="shared" ref="E160:AJ160" si="59">ROUND(SUM(E10:E159),2)</f>
        <v>731088417.85000002</v>
      </c>
      <c r="F160" s="202">
        <f t="shared" si="59"/>
        <v>0</v>
      </c>
      <c r="G160" s="202">
        <f t="shared" si="59"/>
        <v>0</v>
      </c>
      <c r="H160" s="202">
        <f t="shared" si="59"/>
        <v>0</v>
      </c>
      <c r="I160" s="202">
        <f t="shared" si="59"/>
        <v>0</v>
      </c>
      <c r="J160" s="202">
        <f t="shared" si="59"/>
        <v>0</v>
      </c>
      <c r="K160" s="202">
        <f t="shared" si="59"/>
        <v>0</v>
      </c>
      <c r="L160" s="202">
        <f t="shared" si="59"/>
        <v>10221168.449999999</v>
      </c>
      <c r="M160" s="202">
        <f t="shared" si="59"/>
        <v>56191290.460000001</v>
      </c>
      <c r="N160" s="202">
        <f t="shared" si="59"/>
        <v>35912995.590000004</v>
      </c>
      <c r="O160" s="202">
        <f t="shared" si="59"/>
        <v>10214019</v>
      </c>
      <c r="P160" s="202">
        <f t="shared" si="59"/>
        <v>0</v>
      </c>
      <c r="Q160" s="202">
        <f t="shared" si="59"/>
        <v>2361365.56</v>
      </c>
      <c r="R160" s="202">
        <f t="shared" si="59"/>
        <v>5393522.4299999997</v>
      </c>
      <c r="S160" s="202">
        <f t="shared" si="59"/>
        <v>2309387.89</v>
      </c>
      <c r="T160" s="202">
        <f t="shared" si="59"/>
        <v>0</v>
      </c>
      <c r="U160" s="202">
        <f t="shared" si="59"/>
        <v>42953731.43</v>
      </c>
      <c r="V160" s="202">
        <f t="shared" si="59"/>
        <v>27452602.609999999</v>
      </c>
      <c r="W160" s="202">
        <f t="shared" si="59"/>
        <v>7807797.7199999997</v>
      </c>
      <c r="X160" s="202">
        <f t="shared" si="59"/>
        <v>0</v>
      </c>
      <c r="Y160" s="202">
        <f t="shared" si="59"/>
        <v>1805074.46</v>
      </c>
      <c r="Z160" s="202">
        <f t="shared" si="59"/>
        <v>4122915</v>
      </c>
      <c r="AA160" s="202">
        <f t="shared" si="59"/>
        <v>1765341.63</v>
      </c>
      <c r="AB160" s="202">
        <f t="shared" si="59"/>
        <v>0</v>
      </c>
      <c r="AC160" s="202">
        <f t="shared" si="59"/>
        <v>0</v>
      </c>
      <c r="AD160" s="202">
        <f t="shared" si="59"/>
        <v>0</v>
      </c>
      <c r="AE160" s="202">
        <f t="shared" si="59"/>
        <v>0</v>
      </c>
      <c r="AF160" s="202">
        <f t="shared" si="59"/>
        <v>0</v>
      </c>
      <c r="AG160" s="202">
        <f t="shared" si="59"/>
        <v>0</v>
      </c>
      <c r="AH160" s="202">
        <f t="shared" si="59"/>
        <v>0</v>
      </c>
      <c r="AI160" s="202">
        <f t="shared" si="59"/>
        <v>0</v>
      </c>
      <c r="AJ160" s="202">
        <f t="shared" si="59"/>
        <v>0</v>
      </c>
      <c r="AK160" s="202">
        <f t="shared" ref="AK160:BK160" si="60">ROUND(SUM(AK10:AK159),2)</f>
        <v>0</v>
      </c>
      <c r="AL160" s="202">
        <f t="shared" si="60"/>
        <v>0</v>
      </c>
      <c r="AM160" s="202">
        <f t="shared" si="60"/>
        <v>0</v>
      </c>
      <c r="AN160" s="202">
        <f t="shared" si="60"/>
        <v>29820096.210000001</v>
      </c>
      <c r="AO160" s="202">
        <f t="shared" si="60"/>
        <v>140291594.00999999</v>
      </c>
      <c r="AP160" s="202">
        <f t="shared" si="60"/>
        <v>0</v>
      </c>
      <c r="AQ160" s="202">
        <f t="shared" si="60"/>
        <v>0</v>
      </c>
      <c r="AR160" s="202">
        <f t="shared" si="60"/>
        <v>279477880.56</v>
      </c>
      <c r="AS160" s="202">
        <f t="shared" si="60"/>
        <v>96302175.049999997</v>
      </c>
      <c r="AT160" s="202">
        <f t="shared" si="60"/>
        <v>48129590.710000001</v>
      </c>
      <c r="AU160" s="202">
        <f t="shared" si="60"/>
        <v>22221391.949999999</v>
      </c>
      <c r="AV160" s="202">
        <f t="shared" si="60"/>
        <v>0</v>
      </c>
      <c r="AW160" s="202">
        <f t="shared" si="60"/>
        <v>8373060.2400000002</v>
      </c>
      <c r="AX160" s="202">
        <f t="shared" si="60"/>
        <v>14195694.630000001</v>
      </c>
      <c r="AY160" s="202">
        <f t="shared" si="60"/>
        <v>3382437.52</v>
      </c>
      <c r="AZ160" s="202">
        <f t="shared" si="60"/>
        <v>207221551.08000001</v>
      </c>
      <c r="BA160" s="202">
        <f t="shared" si="60"/>
        <v>122163302.58</v>
      </c>
      <c r="BB160" s="202">
        <f t="shared" si="60"/>
        <v>39885010.210000001</v>
      </c>
      <c r="BC160" s="202">
        <f t="shared" si="60"/>
        <v>0</v>
      </c>
      <c r="BD160" s="202">
        <f t="shared" si="60"/>
        <v>6256031.7199999997</v>
      </c>
      <c r="BE160" s="202">
        <f t="shared" si="60"/>
        <v>13696062.449999999</v>
      </c>
      <c r="BF160" s="202">
        <f t="shared" si="60"/>
        <v>9832230.5099999998</v>
      </c>
      <c r="BG160" s="202">
        <f t="shared" si="60"/>
        <v>0</v>
      </c>
      <c r="BH160" s="202">
        <f t="shared" si="60"/>
        <v>15388913.609999999</v>
      </c>
      <c r="BI160" s="202">
        <f t="shared" si="60"/>
        <v>0</v>
      </c>
      <c r="BJ160" s="202">
        <f t="shared" si="60"/>
        <v>303523726.13</v>
      </c>
      <c r="BK160" s="202">
        <f t="shared" si="60"/>
        <v>-24045845.57</v>
      </c>
      <c r="BL160" s="203" t="str">
        <f>IF(AND(A1="FLUXO ATUARIAL   -   CIVIL   -   PLANO PREVIDENCIÁRIO   -   BENEFÍCIOS AVALIADOS EM REGIME FINANCEIRO DE CAPITALIZAÇÃO   -   GERAÇÃO ATUAL",BL161&gt;0),"SUPERÁVIT ATUARIAL",IF(AND(A1="FLUXO ATUARIAL   -   CIVIL   -   PLANO PREVIDENCIÁRIO   -   BENEFÍCIOS AVALIADOS EM REGIME FINANCEIRO DE CAPITALIZAÇÃO   -   GERAÇÃO ATUAL",BL161=0),"EQUILÍBRIO ATUARIAL","DÉFICIT ATUARIAL"))</f>
        <v>DÉFICIT ATUARIAL</v>
      </c>
      <c r="BM160" s="204"/>
      <c r="BN160" s="200"/>
      <c r="BO160" s="205"/>
      <c r="BP160" s="42">
        <f>SUM(BP10:BP159)</f>
        <v>93579532.043561906</v>
      </c>
      <c r="BQ160" s="42">
        <f>SUM(BQ10:BQ159)</f>
        <v>1412042079.6566246</v>
      </c>
    </row>
    <row r="161" spans="1:69" ht="16.5" thickBot="1">
      <c r="A161" s="207" t="s">
        <v>77</v>
      </c>
      <c r="B161" s="208"/>
      <c r="C161" s="209"/>
      <c r="D161" s="210"/>
      <c r="E161" s="211">
        <f>ROUND(SUMPRODUCT($D$10:$D$159,E10:E159),2)</f>
        <v>212987620.72</v>
      </c>
      <c r="F161" s="211">
        <f>ROUND(SUM(G161:J161),2)</f>
        <v>0</v>
      </c>
      <c r="G161" s="211">
        <f t="shared" ref="G161:L161" si="61">ROUND(SUMPRODUCT($D$10:$D$159,G10:G159),2)</f>
        <v>0</v>
      </c>
      <c r="H161" s="211">
        <f t="shared" si="61"/>
        <v>0</v>
      </c>
      <c r="I161" s="211">
        <f t="shared" si="61"/>
        <v>0</v>
      </c>
      <c r="J161" s="211">
        <f t="shared" si="61"/>
        <v>0</v>
      </c>
      <c r="K161" s="211">
        <f t="shared" si="61"/>
        <v>0</v>
      </c>
      <c r="L161" s="211">
        <f t="shared" si="61"/>
        <v>4562857.72</v>
      </c>
      <c r="M161" s="211">
        <f>ROUND(SUM(N161:T161),2)</f>
        <v>11647033</v>
      </c>
      <c r="N161" s="211">
        <f t="shared" ref="N161:T161" si="62">ROUND(SUMPRODUCT($D$10:$D$159,N10:N159),2)</f>
        <v>7117579.4199999999</v>
      </c>
      <c r="O161" s="211">
        <f t="shared" si="62"/>
        <v>2322592.83</v>
      </c>
      <c r="P161" s="211">
        <f t="shared" si="62"/>
        <v>0</v>
      </c>
      <c r="Q161" s="211">
        <f t="shared" si="62"/>
        <v>558759.19999999995</v>
      </c>
      <c r="R161" s="211">
        <f t="shared" si="62"/>
        <v>1118993.19</v>
      </c>
      <c r="S161" s="211">
        <f t="shared" si="62"/>
        <v>529108.36</v>
      </c>
      <c r="T161" s="211">
        <f t="shared" si="62"/>
        <v>0</v>
      </c>
      <c r="U161" s="211">
        <f>ROUND(SUM(V161:AB161),2)</f>
        <v>8903221.9000000004</v>
      </c>
      <c r="V161" s="211">
        <f t="shared" ref="V161:AB161" si="63">ROUND(SUMPRODUCT($D$10:$D$159,V10:V159),2)</f>
        <v>5440818.1799999997</v>
      </c>
      <c r="W161" s="211">
        <f t="shared" si="63"/>
        <v>1775435.79</v>
      </c>
      <c r="X161" s="211">
        <f t="shared" si="63"/>
        <v>0</v>
      </c>
      <c r="Y161" s="211">
        <f t="shared" si="63"/>
        <v>427126.56</v>
      </c>
      <c r="Z161" s="211">
        <f t="shared" si="63"/>
        <v>855380.49</v>
      </c>
      <c r="AA161" s="211">
        <f t="shared" si="63"/>
        <v>404460.88</v>
      </c>
      <c r="AB161" s="211">
        <f t="shared" si="63"/>
        <v>0</v>
      </c>
      <c r="AC161" s="211">
        <f>ROUND(SUM(AD161:AG161),2)</f>
        <v>0</v>
      </c>
      <c r="AD161" s="211">
        <f>ROUND(SUMPRODUCT($D$10:$D$159,AD10:AD159),2)</f>
        <v>0</v>
      </c>
      <c r="AE161" s="211">
        <f>ROUND(SUMPRODUCT($D$10:$D$159,AE10:AE159),2)</f>
        <v>0</v>
      </c>
      <c r="AF161" s="211">
        <f>ROUND(SUMPRODUCT($D$10:$D$159,AF10:AF159),2)</f>
        <v>0</v>
      </c>
      <c r="AG161" s="211">
        <f>ROUND(SUMPRODUCT($D$10:$D$159,AG10:AG159),2)</f>
        <v>0</v>
      </c>
      <c r="AH161" s="211">
        <f>ROUND(SUM(AI161:AM161),2)</f>
        <v>0</v>
      </c>
      <c r="AI161" s="211">
        <f t="shared" ref="AI161:AQ161" si="64">ROUND(SUMPRODUCT($D$10:$D$159,AI10:AI159),2)</f>
        <v>0</v>
      </c>
      <c r="AJ161" s="211">
        <f t="shared" si="64"/>
        <v>0</v>
      </c>
      <c r="AK161" s="211">
        <f t="shared" si="64"/>
        <v>0</v>
      </c>
      <c r="AL161" s="211">
        <f t="shared" si="64"/>
        <v>0</v>
      </c>
      <c r="AM161" s="211">
        <f t="shared" si="64"/>
        <v>0</v>
      </c>
      <c r="AN161" s="211">
        <f t="shared" si="64"/>
        <v>5435256.9500000002</v>
      </c>
      <c r="AO161" s="211">
        <f t="shared" si="64"/>
        <v>54936518.5</v>
      </c>
      <c r="AP161" s="211">
        <f t="shared" si="64"/>
        <v>0</v>
      </c>
      <c r="AQ161" s="211">
        <f t="shared" si="64"/>
        <v>0</v>
      </c>
      <c r="AR161" s="211">
        <f>ROUND(F161+K161+L161+M161+U161+AC161+AH161+AN161+AO161+AP161+AQ161,2)</f>
        <v>85484888.069999993</v>
      </c>
      <c r="AS161" s="211">
        <f>ROUND(SUM(AT161:AY161),2)</f>
        <v>43301254.119999997</v>
      </c>
      <c r="AT161" s="211">
        <f t="shared" ref="AT161:AY161" si="65">ROUND(SUMPRODUCT($D$10:$D$159,AT10:AT159),2)</f>
        <v>22504425.109999999</v>
      </c>
      <c r="AU161" s="211">
        <f t="shared" si="65"/>
        <v>9065775.1400000006</v>
      </c>
      <c r="AV161" s="211">
        <f t="shared" si="65"/>
        <v>0</v>
      </c>
      <c r="AW161" s="211">
        <f t="shared" si="65"/>
        <v>3683712.31</v>
      </c>
      <c r="AX161" s="211">
        <f t="shared" si="65"/>
        <v>6226610.2000000002</v>
      </c>
      <c r="AY161" s="211">
        <f t="shared" si="65"/>
        <v>1820731.36</v>
      </c>
      <c r="AZ161" s="211">
        <f>ROUND(SUM(BA161:BI161),2)</f>
        <v>53100204.469999999</v>
      </c>
      <c r="BA161" s="211">
        <f t="shared" ref="BA161:BI161" si="66">ROUND(SUMPRODUCT($D$10:$D$159,BA10:BA159),2)</f>
        <v>30914972.780000001</v>
      </c>
      <c r="BB161" s="211">
        <f t="shared" si="66"/>
        <v>10837338.77</v>
      </c>
      <c r="BC161" s="211">
        <f t="shared" si="66"/>
        <v>0</v>
      </c>
      <c r="BD161" s="211">
        <f t="shared" si="66"/>
        <v>1623396.11</v>
      </c>
      <c r="BE161" s="211">
        <f t="shared" si="66"/>
        <v>3109792.62</v>
      </c>
      <c r="BF161" s="211">
        <f t="shared" si="66"/>
        <v>2925926.51</v>
      </c>
      <c r="BG161" s="211">
        <f t="shared" si="66"/>
        <v>0</v>
      </c>
      <c r="BH161" s="211">
        <f t="shared" si="66"/>
        <v>3688777.68</v>
      </c>
      <c r="BI161" s="211">
        <f t="shared" si="66"/>
        <v>0</v>
      </c>
      <c r="BJ161" s="211">
        <f>ROUND(AS161+AZ161,2)</f>
        <v>96401458.590000004</v>
      </c>
      <c r="BK161" s="211">
        <f>ROUND(AR161-BJ161,2)</f>
        <v>-10916570.52</v>
      </c>
      <c r="BL161" s="31">
        <f>ROUND(BO9,2)+BK161</f>
        <v>-10916570.52</v>
      </c>
      <c r="BM161" s="212"/>
      <c r="BN161" s="209"/>
      <c r="BO161" s="213"/>
      <c r="BP161" s="43"/>
      <c r="BQ161" s="43"/>
    </row>
  </sheetData>
  <sheetProtection algorithmName="SHA-512" hashValue="Dq3Eg58AYZMd59ZDGGjUvGDczWTUD9xUwNnsYoa4kLIyXKlBCafZImnqC5L+RQd6TcZbASA7bQBlrM6/o1Pw3g==" saltValue="Q4VH7z2zBVfWwfDSz9A5SA==" spinCount="100000" sheet="1" formatCells="0" formatColumns="0" formatRows="0" insertColumns="0" insertRows="0" insertHyperlinks="0" deleteColumns="0" deleteRows="0" sort="0" autoFilter="0" pivotTables="0"/>
  <mergeCells count="1">
    <mergeCell ref="A4:D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N21"/>
  <sheetViews>
    <sheetView showGridLines="0" zoomScaleNormal="100" workbookViewId="0">
      <pane xSplit="6" ySplit="20" topLeftCell="G21" activePane="bottomRight" state="frozen"/>
      <selection pane="topRight" activeCell="G1" sqref="G1"/>
      <selection pane="bottomLeft" activeCell="A21" sqref="A21"/>
      <selection pane="bottomRight" activeCell="F3" sqref="F3"/>
    </sheetView>
  </sheetViews>
  <sheetFormatPr defaultColWidth="0" defaultRowHeight="12.75" zeroHeight="1"/>
  <cols>
    <col min="1" max="1" width="60.7109375" style="102" customWidth="1"/>
    <col min="2" max="4" width="9.140625" style="102" customWidth="1"/>
    <col min="5" max="5" width="5" style="102" customWidth="1"/>
    <col min="6" max="6" width="34.5703125" style="102" customWidth="1"/>
    <col min="7" max="7" width="9.140625" style="102" customWidth="1"/>
    <col min="8" max="256" width="9.140625" style="102" hidden="1"/>
    <col min="257" max="257" width="60.7109375" style="102" hidden="1"/>
    <col min="258" max="260" width="9.140625" style="102" hidden="1"/>
    <col min="261" max="261" width="5" style="102" hidden="1"/>
    <col min="262" max="262" width="35.7109375" style="102" hidden="1"/>
    <col min="263" max="512" width="9.140625" style="102" hidden="1"/>
    <col min="513" max="513" width="60.7109375" style="102" hidden="1"/>
    <col min="514" max="516" width="9.140625" style="102" hidden="1"/>
    <col min="517" max="517" width="5" style="102" hidden="1"/>
    <col min="518" max="518" width="35.7109375" style="102" hidden="1"/>
    <col min="519" max="768" width="9.140625" style="102" hidden="1"/>
    <col min="769" max="769" width="60.7109375" style="102" hidden="1"/>
    <col min="770" max="772" width="9.140625" style="102" hidden="1"/>
    <col min="773" max="773" width="5" style="102" hidden="1"/>
    <col min="774" max="774" width="35.7109375" style="102" hidden="1"/>
    <col min="775" max="1024" width="9.140625" style="102" hidden="1"/>
    <col min="1025" max="1025" width="60.7109375" style="102" hidden="1"/>
    <col min="1026" max="1028" width="9.140625" style="102" hidden="1"/>
    <col min="1029" max="1029" width="5" style="102" hidden="1"/>
    <col min="1030" max="1030" width="35.7109375" style="102" hidden="1"/>
    <col min="1031" max="1280" width="9.140625" style="102" hidden="1"/>
    <col min="1281" max="1281" width="60.7109375" style="102" hidden="1"/>
    <col min="1282" max="1284" width="9.140625" style="102" hidden="1"/>
    <col min="1285" max="1285" width="5" style="102" hidden="1"/>
    <col min="1286" max="1286" width="35.7109375" style="102" hidden="1"/>
    <col min="1287" max="1536" width="9.140625" style="102" hidden="1"/>
    <col min="1537" max="1537" width="60.7109375" style="102" hidden="1"/>
    <col min="1538" max="1540" width="9.140625" style="102" hidden="1"/>
    <col min="1541" max="1541" width="5" style="102" hidden="1"/>
    <col min="1542" max="1542" width="35.7109375" style="102" hidden="1"/>
    <col min="1543" max="1792" width="9.140625" style="102" hidden="1"/>
    <col min="1793" max="1793" width="60.7109375" style="102" hidden="1"/>
    <col min="1794" max="1796" width="9.140625" style="102" hidden="1"/>
    <col min="1797" max="1797" width="5" style="102" hidden="1"/>
    <col min="1798" max="1798" width="35.7109375" style="102" hidden="1"/>
    <col min="1799" max="2048" width="9.140625" style="102" hidden="1"/>
    <col min="2049" max="2049" width="60.7109375" style="102" hidden="1"/>
    <col min="2050" max="2052" width="9.140625" style="102" hidden="1"/>
    <col min="2053" max="2053" width="5" style="102" hidden="1"/>
    <col min="2054" max="2054" width="35.7109375" style="102" hidden="1"/>
    <col min="2055" max="2304" width="9.140625" style="102" hidden="1"/>
    <col min="2305" max="2305" width="60.7109375" style="102" hidden="1"/>
    <col min="2306" max="2308" width="9.140625" style="102" hidden="1"/>
    <col min="2309" max="2309" width="5" style="102" hidden="1"/>
    <col min="2310" max="2310" width="35.7109375" style="102" hidden="1"/>
    <col min="2311" max="2560" width="9.140625" style="102" hidden="1"/>
    <col min="2561" max="2561" width="60.7109375" style="102" hidden="1"/>
    <col min="2562" max="2564" width="9.140625" style="102" hidden="1"/>
    <col min="2565" max="2565" width="5" style="102" hidden="1"/>
    <col min="2566" max="2566" width="35.7109375" style="102" hidden="1"/>
    <col min="2567" max="2816" width="9.140625" style="102" hidden="1"/>
    <col min="2817" max="2817" width="60.7109375" style="102" hidden="1"/>
    <col min="2818" max="2820" width="9.140625" style="102" hidden="1"/>
    <col min="2821" max="2821" width="5" style="102" hidden="1"/>
    <col min="2822" max="2822" width="35.7109375" style="102" hidden="1"/>
    <col min="2823" max="3072" width="9.140625" style="102" hidden="1"/>
    <col min="3073" max="3073" width="60.7109375" style="102" hidden="1"/>
    <col min="3074" max="3076" width="9.140625" style="102" hidden="1"/>
    <col min="3077" max="3077" width="5" style="102" hidden="1"/>
    <col min="3078" max="3078" width="35.7109375" style="102" hidden="1"/>
    <col min="3079" max="3328" width="9.140625" style="102" hidden="1"/>
    <col min="3329" max="3329" width="60.7109375" style="102" hidden="1"/>
    <col min="3330" max="3332" width="9.140625" style="102" hidden="1"/>
    <col min="3333" max="3333" width="5" style="102" hidden="1"/>
    <col min="3334" max="3334" width="35.7109375" style="102" hidden="1"/>
    <col min="3335" max="3584" width="9.140625" style="102" hidden="1"/>
    <col min="3585" max="3585" width="60.7109375" style="102" hidden="1"/>
    <col min="3586" max="3588" width="9.140625" style="102" hidden="1"/>
    <col min="3589" max="3589" width="5" style="102" hidden="1"/>
    <col min="3590" max="3590" width="35.7109375" style="102" hidden="1"/>
    <col min="3591" max="3840" width="9.140625" style="102" hidden="1"/>
    <col min="3841" max="3841" width="60.7109375" style="102" hidden="1"/>
    <col min="3842" max="3844" width="9.140625" style="102" hidden="1"/>
    <col min="3845" max="3845" width="5" style="102" hidden="1"/>
    <col min="3846" max="3846" width="35.7109375" style="102" hidden="1"/>
    <col min="3847" max="4096" width="9.140625" style="102" hidden="1"/>
    <col min="4097" max="4097" width="60.7109375" style="102" hidden="1"/>
    <col min="4098" max="4100" width="9.140625" style="102" hidden="1"/>
    <col min="4101" max="4101" width="5" style="102" hidden="1"/>
    <col min="4102" max="4102" width="35.7109375" style="102" hidden="1"/>
    <col min="4103" max="4352" width="9.140625" style="102" hidden="1"/>
    <col min="4353" max="4353" width="60.7109375" style="102" hidden="1"/>
    <col min="4354" max="4356" width="9.140625" style="102" hidden="1"/>
    <col min="4357" max="4357" width="5" style="102" hidden="1"/>
    <col min="4358" max="4358" width="35.7109375" style="102" hidden="1"/>
    <col min="4359" max="4608" width="9.140625" style="102" hidden="1"/>
    <col min="4609" max="4609" width="60.7109375" style="102" hidden="1"/>
    <col min="4610" max="4612" width="9.140625" style="102" hidden="1"/>
    <col min="4613" max="4613" width="5" style="102" hidden="1"/>
    <col min="4614" max="4614" width="35.7109375" style="102" hidden="1"/>
    <col min="4615" max="4864" width="9.140625" style="102" hidden="1"/>
    <col min="4865" max="4865" width="60.7109375" style="102" hidden="1"/>
    <col min="4866" max="4868" width="9.140625" style="102" hidden="1"/>
    <col min="4869" max="4869" width="5" style="102" hidden="1"/>
    <col min="4870" max="4870" width="35.7109375" style="102" hidden="1"/>
    <col min="4871" max="5120" width="9.140625" style="102" hidden="1"/>
    <col min="5121" max="5121" width="60.7109375" style="102" hidden="1"/>
    <col min="5122" max="5124" width="9.140625" style="102" hidden="1"/>
    <col min="5125" max="5125" width="5" style="102" hidden="1"/>
    <col min="5126" max="5126" width="35.7109375" style="102" hidden="1"/>
    <col min="5127" max="5376" width="9.140625" style="102" hidden="1"/>
    <col min="5377" max="5377" width="60.7109375" style="102" hidden="1"/>
    <col min="5378" max="5380" width="9.140625" style="102" hidden="1"/>
    <col min="5381" max="5381" width="5" style="102" hidden="1"/>
    <col min="5382" max="5382" width="35.7109375" style="102" hidden="1"/>
    <col min="5383" max="5632" width="9.140625" style="102" hidden="1"/>
    <col min="5633" max="5633" width="60.7109375" style="102" hidden="1"/>
    <col min="5634" max="5636" width="9.140625" style="102" hidden="1"/>
    <col min="5637" max="5637" width="5" style="102" hidden="1"/>
    <col min="5638" max="5638" width="35.7109375" style="102" hidden="1"/>
    <col min="5639" max="5888" width="9.140625" style="102" hidden="1"/>
    <col min="5889" max="5889" width="60.7109375" style="102" hidden="1"/>
    <col min="5890" max="5892" width="9.140625" style="102" hidden="1"/>
    <col min="5893" max="5893" width="5" style="102" hidden="1"/>
    <col min="5894" max="5894" width="35.7109375" style="102" hidden="1"/>
    <col min="5895" max="6144" width="9.140625" style="102" hidden="1"/>
    <col min="6145" max="6145" width="60.7109375" style="102" hidden="1"/>
    <col min="6146" max="6148" width="9.140625" style="102" hidden="1"/>
    <col min="6149" max="6149" width="5" style="102" hidden="1"/>
    <col min="6150" max="6150" width="35.7109375" style="102" hidden="1"/>
    <col min="6151" max="6400" width="9.140625" style="102" hidden="1"/>
    <col min="6401" max="6401" width="60.7109375" style="102" hidden="1"/>
    <col min="6402" max="6404" width="9.140625" style="102" hidden="1"/>
    <col min="6405" max="6405" width="5" style="102" hidden="1"/>
    <col min="6406" max="6406" width="35.7109375" style="102" hidden="1"/>
    <col min="6407" max="6656" width="9.140625" style="102" hidden="1"/>
    <col min="6657" max="6657" width="60.7109375" style="102" hidden="1"/>
    <col min="6658" max="6660" width="9.140625" style="102" hidden="1"/>
    <col min="6661" max="6661" width="5" style="102" hidden="1"/>
    <col min="6662" max="6662" width="35.7109375" style="102" hidden="1"/>
    <col min="6663" max="6912" width="9.140625" style="102" hidden="1"/>
    <col min="6913" max="6913" width="60.7109375" style="102" hidden="1"/>
    <col min="6914" max="6916" width="9.140625" style="102" hidden="1"/>
    <col min="6917" max="6917" width="5" style="102" hidden="1"/>
    <col min="6918" max="6918" width="35.7109375" style="102" hidden="1"/>
    <col min="6919" max="7168" width="9.140625" style="102" hidden="1"/>
    <col min="7169" max="7169" width="60.7109375" style="102" hidden="1"/>
    <col min="7170" max="7172" width="9.140625" style="102" hidden="1"/>
    <col min="7173" max="7173" width="5" style="102" hidden="1"/>
    <col min="7174" max="7174" width="35.7109375" style="102" hidden="1"/>
    <col min="7175" max="7424" width="9.140625" style="102" hidden="1"/>
    <col min="7425" max="7425" width="60.7109375" style="102" hidden="1"/>
    <col min="7426" max="7428" width="9.140625" style="102" hidden="1"/>
    <col min="7429" max="7429" width="5" style="102" hidden="1"/>
    <col min="7430" max="7430" width="35.7109375" style="102" hidden="1"/>
    <col min="7431" max="7680" width="9.140625" style="102" hidden="1"/>
    <col min="7681" max="7681" width="60.7109375" style="102" hidden="1"/>
    <col min="7682" max="7684" width="9.140625" style="102" hidden="1"/>
    <col min="7685" max="7685" width="5" style="102" hidden="1"/>
    <col min="7686" max="7686" width="35.7109375" style="102" hidden="1"/>
    <col min="7687" max="7936" width="9.140625" style="102" hidden="1"/>
    <col min="7937" max="7937" width="60.7109375" style="102" hidden="1"/>
    <col min="7938" max="7940" width="9.140625" style="102" hidden="1"/>
    <col min="7941" max="7941" width="5" style="102" hidden="1"/>
    <col min="7942" max="7942" width="35.7109375" style="102" hidden="1"/>
    <col min="7943" max="8192" width="9.140625" style="102" hidden="1"/>
    <col min="8193" max="8193" width="60.7109375" style="102" hidden="1"/>
    <col min="8194" max="8196" width="9.140625" style="102" hidden="1"/>
    <col min="8197" max="8197" width="5" style="102" hidden="1"/>
    <col min="8198" max="8198" width="35.7109375" style="102" hidden="1"/>
    <col min="8199" max="8448" width="9.140625" style="102" hidden="1"/>
    <col min="8449" max="8449" width="60.7109375" style="102" hidden="1"/>
    <col min="8450" max="8452" width="9.140625" style="102" hidden="1"/>
    <col min="8453" max="8453" width="5" style="102" hidden="1"/>
    <col min="8454" max="8454" width="35.7109375" style="102" hidden="1"/>
    <col min="8455" max="8704" width="9.140625" style="102" hidden="1"/>
    <col min="8705" max="8705" width="60.7109375" style="102" hidden="1"/>
    <col min="8706" max="8708" width="9.140625" style="102" hidden="1"/>
    <col min="8709" max="8709" width="5" style="102" hidden="1"/>
    <col min="8710" max="8710" width="35.7109375" style="102" hidden="1"/>
    <col min="8711" max="8960" width="9.140625" style="102" hidden="1"/>
    <col min="8961" max="8961" width="60.7109375" style="102" hidden="1"/>
    <col min="8962" max="8964" width="9.140625" style="102" hidden="1"/>
    <col min="8965" max="8965" width="5" style="102" hidden="1"/>
    <col min="8966" max="8966" width="35.7109375" style="102" hidden="1"/>
    <col min="8967" max="9216" width="9.140625" style="102" hidden="1"/>
    <col min="9217" max="9217" width="60.7109375" style="102" hidden="1"/>
    <col min="9218" max="9220" width="9.140625" style="102" hidden="1"/>
    <col min="9221" max="9221" width="5" style="102" hidden="1"/>
    <col min="9222" max="9222" width="35.7109375" style="102" hidden="1"/>
    <col min="9223" max="9472" width="9.140625" style="102" hidden="1"/>
    <col min="9473" max="9473" width="60.7109375" style="102" hidden="1"/>
    <col min="9474" max="9476" width="9.140625" style="102" hidden="1"/>
    <col min="9477" max="9477" width="5" style="102" hidden="1"/>
    <col min="9478" max="9478" width="35.7109375" style="102" hidden="1"/>
    <col min="9479" max="9728" width="9.140625" style="102" hidden="1"/>
    <col min="9729" max="9729" width="60.7109375" style="102" hidden="1"/>
    <col min="9730" max="9732" width="9.140625" style="102" hidden="1"/>
    <col min="9733" max="9733" width="5" style="102" hidden="1"/>
    <col min="9734" max="9734" width="35.7109375" style="102" hidden="1"/>
    <col min="9735" max="9984" width="9.140625" style="102" hidden="1"/>
    <col min="9985" max="9985" width="60.7109375" style="102" hidden="1"/>
    <col min="9986" max="9988" width="9.140625" style="102" hidden="1"/>
    <col min="9989" max="9989" width="5" style="102" hidden="1"/>
    <col min="9990" max="9990" width="35.7109375" style="102" hidden="1"/>
    <col min="9991" max="10240" width="9.140625" style="102" hidden="1"/>
    <col min="10241" max="10241" width="60.7109375" style="102" hidden="1"/>
    <col min="10242" max="10244" width="9.140625" style="102" hidden="1"/>
    <col min="10245" max="10245" width="5" style="102" hidden="1"/>
    <col min="10246" max="10246" width="35.7109375" style="102" hidden="1"/>
    <col min="10247" max="10496" width="9.140625" style="102" hidden="1"/>
    <col min="10497" max="10497" width="60.7109375" style="102" hidden="1"/>
    <col min="10498" max="10500" width="9.140625" style="102" hidden="1"/>
    <col min="10501" max="10501" width="5" style="102" hidden="1"/>
    <col min="10502" max="10502" width="35.7109375" style="102" hidden="1"/>
    <col min="10503" max="10752" width="9.140625" style="102" hidden="1"/>
    <col min="10753" max="10753" width="60.7109375" style="102" hidden="1"/>
    <col min="10754" max="10756" width="9.140625" style="102" hidden="1"/>
    <col min="10757" max="10757" width="5" style="102" hidden="1"/>
    <col min="10758" max="10758" width="35.7109375" style="102" hidden="1"/>
    <col min="10759" max="11008" width="9.140625" style="102" hidden="1"/>
    <col min="11009" max="11009" width="60.7109375" style="102" hidden="1"/>
    <col min="11010" max="11012" width="9.140625" style="102" hidden="1"/>
    <col min="11013" max="11013" width="5" style="102" hidden="1"/>
    <col min="11014" max="11014" width="35.7109375" style="102" hidden="1"/>
    <col min="11015" max="11264" width="9.140625" style="102" hidden="1"/>
    <col min="11265" max="11265" width="60.7109375" style="102" hidden="1"/>
    <col min="11266" max="11268" width="9.140625" style="102" hidden="1"/>
    <col min="11269" max="11269" width="5" style="102" hidden="1"/>
    <col min="11270" max="11270" width="35.7109375" style="102" hidden="1"/>
    <col min="11271" max="11520" width="9.140625" style="102" hidden="1"/>
    <col min="11521" max="11521" width="60.7109375" style="102" hidden="1"/>
    <col min="11522" max="11524" width="9.140625" style="102" hidden="1"/>
    <col min="11525" max="11525" width="5" style="102" hidden="1"/>
    <col min="11526" max="11526" width="35.7109375" style="102" hidden="1"/>
    <col min="11527" max="11776" width="9.140625" style="102" hidden="1"/>
    <col min="11777" max="11777" width="60.7109375" style="102" hidden="1"/>
    <col min="11778" max="11780" width="9.140625" style="102" hidden="1"/>
    <col min="11781" max="11781" width="5" style="102" hidden="1"/>
    <col min="11782" max="11782" width="35.7109375" style="102" hidden="1"/>
    <col min="11783" max="12032" width="9.140625" style="102" hidden="1"/>
    <col min="12033" max="12033" width="60.7109375" style="102" hidden="1"/>
    <col min="12034" max="12036" width="9.140625" style="102" hidden="1"/>
    <col min="12037" max="12037" width="5" style="102" hidden="1"/>
    <col min="12038" max="12038" width="35.7109375" style="102" hidden="1"/>
    <col min="12039" max="12288" width="9.140625" style="102" hidden="1"/>
    <col min="12289" max="12289" width="60.7109375" style="102" hidden="1"/>
    <col min="12290" max="12292" width="9.140625" style="102" hidden="1"/>
    <col min="12293" max="12293" width="5" style="102" hidden="1"/>
    <col min="12294" max="12294" width="35.7109375" style="102" hidden="1"/>
    <col min="12295" max="12544" width="9.140625" style="102" hidden="1"/>
    <col min="12545" max="12545" width="60.7109375" style="102" hidden="1"/>
    <col min="12546" max="12548" width="9.140625" style="102" hidden="1"/>
    <col min="12549" max="12549" width="5" style="102" hidden="1"/>
    <col min="12550" max="12550" width="35.7109375" style="102" hidden="1"/>
    <col min="12551" max="12800" width="9.140625" style="102" hidden="1"/>
    <col min="12801" max="12801" width="60.7109375" style="102" hidden="1"/>
    <col min="12802" max="12804" width="9.140625" style="102" hidden="1"/>
    <col min="12805" max="12805" width="5" style="102" hidden="1"/>
    <col min="12806" max="12806" width="35.7109375" style="102" hidden="1"/>
    <col min="12807" max="13056" width="9.140625" style="102" hidden="1"/>
    <col min="13057" max="13057" width="60.7109375" style="102" hidden="1"/>
    <col min="13058" max="13060" width="9.140625" style="102" hidden="1"/>
    <col min="13061" max="13061" width="5" style="102" hidden="1"/>
    <col min="13062" max="13062" width="35.7109375" style="102" hidden="1"/>
    <col min="13063" max="13312" width="9.140625" style="102" hidden="1"/>
    <col min="13313" max="13313" width="60.7109375" style="102" hidden="1"/>
    <col min="13314" max="13316" width="9.140625" style="102" hidden="1"/>
    <col min="13317" max="13317" width="5" style="102" hidden="1"/>
    <col min="13318" max="13318" width="35.7109375" style="102" hidden="1"/>
    <col min="13319" max="13568" width="9.140625" style="102" hidden="1"/>
    <col min="13569" max="13569" width="60.7109375" style="102" hidden="1"/>
    <col min="13570" max="13572" width="9.140625" style="102" hidden="1"/>
    <col min="13573" max="13573" width="5" style="102" hidden="1"/>
    <col min="13574" max="13574" width="35.7109375" style="102" hidden="1"/>
    <col min="13575" max="13824" width="9.140625" style="102" hidden="1"/>
    <col min="13825" max="13825" width="60.7109375" style="102" hidden="1"/>
    <col min="13826" max="13828" width="9.140625" style="102" hidden="1"/>
    <col min="13829" max="13829" width="5" style="102" hidden="1"/>
    <col min="13830" max="13830" width="35.7109375" style="102" hidden="1"/>
    <col min="13831" max="14080" width="9.140625" style="102" hidden="1"/>
    <col min="14081" max="14081" width="60.7109375" style="102" hidden="1"/>
    <col min="14082" max="14084" width="9.140625" style="102" hidden="1"/>
    <col min="14085" max="14085" width="5" style="102" hidden="1"/>
    <col min="14086" max="14086" width="35.7109375" style="102" hidden="1"/>
    <col min="14087" max="14336" width="9.140625" style="102" hidden="1"/>
    <col min="14337" max="14337" width="60.7109375" style="102" hidden="1"/>
    <col min="14338" max="14340" width="9.140625" style="102" hidden="1"/>
    <col min="14341" max="14341" width="5" style="102" hidden="1"/>
    <col min="14342" max="14342" width="35.7109375" style="102" hidden="1"/>
    <col min="14343" max="14592" width="9.140625" style="102" hidden="1"/>
    <col min="14593" max="14593" width="60.7109375" style="102" hidden="1"/>
    <col min="14594" max="14596" width="9.140625" style="102" hidden="1"/>
    <col min="14597" max="14597" width="5" style="102" hidden="1"/>
    <col min="14598" max="14598" width="35.7109375" style="102" hidden="1"/>
    <col min="14599" max="14848" width="9.140625" style="102" hidden="1"/>
    <col min="14849" max="14849" width="60.7109375" style="102" hidden="1"/>
    <col min="14850" max="14852" width="9.140625" style="102" hidden="1"/>
    <col min="14853" max="14853" width="5" style="102" hidden="1"/>
    <col min="14854" max="14854" width="35.7109375" style="102" hidden="1"/>
    <col min="14855" max="15104" width="9.140625" style="102" hidden="1"/>
    <col min="15105" max="15105" width="60.7109375" style="102" hidden="1"/>
    <col min="15106" max="15108" width="9.140625" style="102" hidden="1"/>
    <col min="15109" max="15109" width="5" style="102" hidden="1"/>
    <col min="15110" max="15110" width="35.7109375" style="102" hidden="1"/>
    <col min="15111" max="15360" width="9.140625" style="102" hidden="1"/>
    <col min="15361" max="15361" width="60.7109375" style="102" hidden="1"/>
    <col min="15362" max="15364" width="9.140625" style="102" hidden="1"/>
    <col min="15365" max="15365" width="5" style="102" hidden="1"/>
    <col min="15366" max="15366" width="35.7109375" style="102" hidden="1"/>
    <col min="15367" max="15616" width="9.140625" style="102" hidden="1"/>
    <col min="15617" max="15617" width="60.7109375" style="102" hidden="1"/>
    <col min="15618" max="15620" width="9.140625" style="102" hidden="1"/>
    <col min="15621" max="15621" width="5" style="102" hidden="1"/>
    <col min="15622" max="15622" width="35.7109375" style="102" hidden="1"/>
    <col min="15623" max="15872" width="9.140625" style="102" hidden="1"/>
    <col min="15873" max="15873" width="60.7109375" style="102" hidden="1"/>
    <col min="15874" max="15876" width="9.140625" style="102" hidden="1"/>
    <col min="15877" max="15877" width="5" style="102" hidden="1"/>
    <col min="15878" max="15878" width="35.7109375" style="102" hidden="1"/>
    <col min="15879" max="16128" width="9.140625" style="102" hidden="1"/>
    <col min="16129" max="16129" width="60.7109375" style="102" hidden="1"/>
    <col min="16130" max="16132" width="9.140625" style="102" hidden="1"/>
    <col min="16133" max="16133" width="5" style="102" hidden="1"/>
    <col min="16134" max="16134" width="35.7109375" style="102" hidden="1"/>
    <col min="16135" max="16384" width="9.140625" style="102" hidden="1"/>
  </cols>
  <sheetData>
    <row r="1" spans="1:7" ht="13.5">
      <c r="A1" s="222" t="s">
        <v>83</v>
      </c>
      <c r="B1" s="222"/>
      <c r="C1" s="222"/>
      <c r="D1" s="222"/>
      <c r="E1" s="223"/>
      <c r="F1" s="163" t="s">
        <v>84</v>
      </c>
    </row>
    <row r="2" spans="1:7" ht="13.5">
      <c r="A2" s="224"/>
      <c r="B2" s="224"/>
      <c r="C2" s="224"/>
      <c r="D2" s="224"/>
      <c r="E2" s="225"/>
      <c r="F2" s="164" t="s">
        <v>85</v>
      </c>
    </row>
    <row r="3" spans="1:7" ht="13.5">
      <c r="A3" s="103" t="s">
        <v>86</v>
      </c>
      <c r="B3" s="103"/>
      <c r="C3" s="103"/>
      <c r="D3" s="103"/>
      <c r="E3" s="103"/>
      <c r="F3" s="104">
        <f>SUM(F4:F6)</f>
        <v>14946273.130000001</v>
      </c>
      <c r="G3" s="105"/>
    </row>
    <row r="4" spans="1:7" ht="13.5">
      <c r="A4" s="106" t="s">
        <v>87</v>
      </c>
      <c r="B4" s="107"/>
      <c r="C4" s="107"/>
      <c r="D4" s="107"/>
      <c r="E4" s="107"/>
      <c r="F4" s="108">
        <v>11322036.32</v>
      </c>
    </row>
    <row r="5" spans="1:7" ht="13.5">
      <c r="A5" s="109" t="s">
        <v>88</v>
      </c>
      <c r="B5" s="107"/>
      <c r="C5" s="107"/>
      <c r="D5" s="107"/>
      <c r="E5" s="107"/>
      <c r="F5" s="108">
        <v>3624236.81</v>
      </c>
    </row>
    <row r="6" spans="1:7" ht="13.5">
      <c r="A6" s="109" t="s">
        <v>89</v>
      </c>
      <c r="B6" s="107"/>
      <c r="C6" s="107"/>
      <c r="D6" s="107"/>
      <c r="E6" s="107"/>
      <c r="F6" s="108">
        <v>0</v>
      </c>
    </row>
    <row r="7" spans="1:7" ht="13.5">
      <c r="A7" s="107" t="s">
        <v>90</v>
      </c>
      <c r="B7" s="107"/>
      <c r="C7" s="107"/>
      <c r="D7" s="107"/>
      <c r="E7" s="107"/>
      <c r="F7" s="108">
        <f>SUM(F8:F11)</f>
        <v>0</v>
      </c>
      <c r="G7" s="105"/>
    </row>
    <row r="8" spans="1:7" ht="13.5">
      <c r="A8" s="110" t="s">
        <v>91</v>
      </c>
      <c r="B8" s="107"/>
      <c r="C8" s="107"/>
      <c r="D8" s="107"/>
      <c r="E8" s="107"/>
      <c r="F8" s="108">
        <v>0</v>
      </c>
    </row>
    <row r="9" spans="1:7" ht="13.5">
      <c r="A9" s="110" t="s">
        <v>92</v>
      </c>
      <c r="B9" s="107"/>
      <c r="C9" s="107"/>
      <c r="D9" s="107"/>
      <c r="E9" s="107"/>
      <c r="F9" s="108">
        <v>0</v>
      </c>
    </row>
    <row r="10" spans="1:7" ht="13.5">
      <c r="A10" s="110" t="s">
        <v>93</v>
      </c>
      <c r="B10" s="107"/>
      <c r="C10" s="107"/>
      <c r="D10" s="107"/>
      <c r="E10" s="107"/>
      <c r="F10" s="108">
        <v>0</v>
      </c>
    </row>
    <row r="11" spans="1:7" ht="13.5">
      <c r="A11" s="111" t="s">
        <v>94</v>
      </c>
      <c r="B11" s="112"/>
      <c r="C11" s="112"/>
      <c r="D11" s="112"/>
      <c r="E11" s="112"/>
      <c r="F11" s="113">
        <v>0</v>
      </c>
    </row>
    <row r="12" spans="1:7" ht="13.5">
      <c r="A12" s="103" t="s">
        <v>95</v>
      </c>
      <c r="B12" s="112"/>
      <c r="C12" s="112"/>
      <c r="D12" s="112"/>
      <c r="E12" s="112"/>
      <c r="F12" s="113">
        <f>F3-F7</f>
        <v>14946273.130000001</v>
      </c>
      <c r="G12" s="105"/>
    </row>
    <row r="13" spans="1:7" ht="13.5">
      <c r="A13" s="114" t="s">
        <v>96</v>
      </c>
      <c r="B13" s="114"/>
      <c r="C13" s="114"/>
      <c r="D13" s="114"/>
      <c r="E13" s="114"/>
      <c r="F13" s="158">
        <f>F12</f>
        <v>14946273.130000001</v>
      </c>
    </row>
    <row r="14" spans="1:7" ht="13.5">
      <c r="A14" s="107"/>
      <c r="B14" s="107"/>
      <c r="C14" s="107"/>
      <c r="D14" s="107"/>
      <c r="E14" s="107"/>
      <c r="F14" s="107"/>
    </row>
    <row r="15" spans="1:7" ht="13.5">
      <c r="A15" s="226" t="s">
        <v>97</v>
      </c>
      <c r="B15" s="226"/>
      <c r="C15" s="226"/>
      <c r="D15" s="226"/>
      <c r="E15" s="226"/>
      <c r="F15" s="156" t="s">
        <v>98</v>
      </c>
    </row>
    <row r="16" spans="1:7" ht="13.5">
      <c r="A16" s="107" t="s">
        <v>99</v>
      </c>
      <c r="B16" s="107"/>
      <c r="C16" s="107"/>
      <c r="D16" s="107"/>
      <c r="E16" s="107"/>
      <c r="F16" s="157">
        <v>39623474.390000001</v>
      </c>
    </row>
    <row r="17" spans="1:6" ht="13.5">
      <c r="A17" s="114" t="s">
        <v>100</v>
      </c>
      <c r="B17" s="114"/>
      <c r="C17" s="114"/>
      <c r="D17" s="114"/>
      <c r="E17" s="114"/>
      <c r="F17" s="159">
        <f>F13/F16</f>
        <v>0.37720753568677651</v>
      </c>
    </row>
    <row r="18" spans="1:6" ht="13.5">
      <c r="A18" s="227" t="s">
        <v>101</v>
      </c>
      <c r="B18" s="227"/>
      <c r="C18" s="227"/>
      <c r="D18" s="227"/>
      <c r="E18" s="227"/>
      <c r="F18" s="161">
        <v>0.6</v>
      </c>
    </row>
    <row r="19" spans="1:6" ht="13.5">
      <c r="A19" s="107" t="s">
        <v>102</v>
      </c>
      <c r="B19" s="107"/>
      <c r="C19" s="107"/>
      <c r="D19" s="107"/>
      <c r="E19" s="107"/>
      <c r="F19" s="160">
        <f>F18*0.95</f>
        <v>0.56999999999999995</v>
      </c>
    </row>
    <row r="20" spans="1:6" ht="13.5">
      <c r="A20" s="107" t="s">
        <v>103</v>
      </c>
      <c r="B20" s="107"/>
      <c r="C20" s="107"/>
      <c r="D20" s="107"/>
      <c r="E20" s="107"/>
      <c r="F20" s="160">
        <f>F18*0.9</f>
        <v>0.54</v>
      </c>
    </row>
    <row r="21" spans="1:6"/>
  </sheetData>
  <mergeCells count="3">
    <mergeCell ref="A1:E2"/>
    <mergeCell ref="A15:E15"/>
    <mergeCell ref="A18:E1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zoomScaleNormal="100" zoomScaleSheetLayoutView="85" workbookViewId="0">
      <pane xSplit="10" ySplit="28" topLeftCell="K29" activePane="bottomRight" state="frozen"/>
      <selection pane="topRight" activeCell="K1" sqref="K1"/>
      <selection pane="bottomLeft" activeCell="A29" sqref="A29"/>
      <selection pane="bottomRight" activeCell="B13" sqref="B13"/>
    </sheetView>
  </sheetViews>
  <sheetFormatPr defaultColWidth="0" defaultRowHeight="12.75" zeroHeight="1"/>
  <cols>
    <col min="1" max="1" width="56" style="55" customWidth="1"/>
    <col min="2" max="2" width="14" style="55" bestFit="1" customWidth="1"/>
    <col min="3" max="3" width="17.5703125" style="55" customWidth="1"/>
    <col min="4" max="4" width="10" style="55" customWidth="1"/>
    <col min="5" max="5" width="3.28515625" style="55" customWidth="1"/>
    <col min="6" max="6" width="18.85546875" style="55" customWidth="1"/>
    <col min="7" max="7" width="15.140625" style="55" customWidth="1"/>
    <col min="8" max="10" width="18.85546875" style="55" customWidth="1"/>
    <col min="11" max="11" width="12.5703125" style="55" bestFit="1" customWidth="1"/>
    <col min="12" max="17" width="17.42578125" style="55" hidden="1" customWidth="1"/>
    <col min="18" max="16384" width="41.42578125" style="55" hidden="1"/>
  </cols>
  <sheetData>
    <row r="1" spans="1:5" s="73" customFormat="1" ht="18">
      <c r="A1" s="79" t="s">
        <v>133</v>
      </c>
      <c r="B1" s="76"/>
      <c r="C1" s="76"/>
      <c r="D1" s="76"/>
      <c r="E1" s="57"/>
    </row>
    <row r="2" spans="1:5"/>
    <row r="3" spans="1:5" s="57" customFormat="1" ht="13.5" thickBot="1">
      <c r="A3" s="77" t="s">
        <v>118</v>
      </c>
      <c r="D3" s="55"/>
      <c r="E3" s="55"/>
    </row>
    <row r="4" spans="1:5">
      <c r="A4" s="58" t="s">
        <v>104</v>
      </c>
      <c r="B4" s="58"/>
      <c r="C4" s="59">
        <v>2020</v>
      </c>
    </row>
    <row r="5" spans="1:5">
      <c r="A5" s="60" t="s">
        <v>105</v>
      </c>
      <c r="B5" s="60"/>
      <c r="C5" s="61"/>
    </row>
    <row r="6" spans="1:5">
      <c r="A6" s="62" t="s">
        <v>106</v>
      </c>
      <c r="B6" s="62"/>
      <c r="C6" s="63"/>
    </row>
    <row r="7" spans="1:5" ht="13.5" thickBot="1"/>
    <row r="8" spans="1:5">
      <c r="A8" s="78"/>
      <c r="B8" s="64" t="s">
        <v>107</v>
      </c>
      <c r="C8" s="65" t="s">
        <v>108</v>
      </c>
    </row>
    <row r="9" spans="1:5">
      <c r="A9" s="169" t="str">
        <f>CONCATENATE("Contribuições do Ente + Parcelamentos (Ano: ",A28,")")</f>
        <v>Contribuições do Ente + Parcelamentos (Ano: 2019)</v>
      </c>
      <c r="B9" s="81"/>
      <c r="C9" s="66"/>
    </row>
    <row r="10" spans="1:5">
      <c r="A10" s="169" t="str">
        <f>CONCATENATE("Despesas do RPPS- Benefícios e Administrativas (Ano: ",A28,")")</f>
        <v>Despesas do RPPS- Benefícios e Administrativas (Ano: 2019)</v>
      </c>
      <c r="B10" s="81"/>
      <c r="C10" s="66"/>
    </row>
    <row r="11" spans="1:5">
      <c r="A11" s="169" t="s">
        <v>109</v>
      </c>
      <c r="B11" s="67">
        <f>C28-C9-IF(C10-C9&gt;0,C10-C9,0)</f>
        <v>14946273.130000001</v>
      </c>
      <c r="C11" s="82"/>
    </row>
    <row r="12" spans="1:5">
      <c r="A12" s="169" t="s">
        <v>110</v>
      </c>
      <c r="B12" s="81"/>
      <c r="C12" s="66"/>
    </row>
    <row r="13" spans="1:5">
      <c r="A13" s="169" t="s">
        <v>111</v>
      </c>
      <c r="B13" s="81">
        <f>'Fluxo e Duração do Passivo'!BL161</f>
        <v>-10916570.52</v>
      </c>
      <c r="C13" s="66"/>
    </row>
    <row r="14" spans="1:5">
      <c r="A14" s="169" t="str">
        <f>CONCATENATE("Variação Média - ",B17)</f>
        <v>Variação Média - RECEITA CORRENTE LÍQUIDA - RCL</v>
      </c>
      <c r="B14" s="85">
        <f>AVERAGE(I18:I28)</f>
        <v>8.208716958187489E-3</v>
      </c>
      <c r="C14" s="68"/>
    </row>
    <row r="15" spans="1:5" ht="13.5" thickBot="1">
      <c r="A15" s="170" t="str">
        <f>CONCATENATE("Variação Média - ",C17)</f>
        <v>Variação Média - DESPESA LÍQUIDA COM PESSOAL</v>
      </c>
      <c r="B15" s="100">
        <f>AVERAGE(J18:J28)</f>
        <v>1.0187252498944732E-2</v>
      </c>
      <c r="C15" s="83"/>
    </row>
    <row r="16" spans="1:5" ht="13.5" thickBot="1"/>
    <row r="17" spans="1:14" s="69" customFormat="1" ht="38.25">
      <c r="A17" s="86" t="s">
        <v>112</v>
      </c>
      <c r="B17" s="87" t="s">
        <v>113</v>
      </c>
      <c r="C17" s="88" t="s">
        <v>114</v>
      </c>
      <c r="D17" s="89" t="s">
        <v>115</v>
      </c>
      <c r="E17" s="57"/>
      <c r="F17" s="92" t="s">
        <v>116</v>
      </c>
      <c r="G17" s="93" t="str">
        <f>CONCATENATE(B17," (em base de ",A28,")")</f>
        <v>RECEITA CORRENTE LÍQUIDA - RCL (em base de 2019)</v>
      </c>
      <c r="H17" s="94" t="str">
        <f>CONCATENATE(B17," (em base de ",A28,")")</f>
        <v>RECEITA CORRENTE LÍQUIDA - RCL (em base de 2019)</v>
      </c>
      <c r="I17" s="93" t="str">
        <f>CONCATENATE("Variação real da ",B17)</f>
        <v>Variação real da RECEITA CORRENTE LÍQUIDA - RCL</v>
      </c>
      <c r="J17" s="95" t="str">
        <f>CONCATENATE("Variação real da ",C17)</f>
        <v>Variação real da DESPESA LÍQUIDA COM PESSOAL</v>
      </c>
      <c r="M17"/>
      <c r="N17" s="162"/>
    </row>
    <row r="18" spans="1:14" ht="12.75" customHeight="1">
      <c r="A18" s="70">
        <f t="shared" ref="A18:A27" si="0">A19-1</f>
        <v>2009</v>
      </c>
      <c r="B18" s="71">
        <v>21921587.068805244</v>
      </c>
      <c r="C18" s="71">
        <f>0.94*C19</f>
        <v>8050288.6072084783</v>
      </c>
      <c r="D18" s="90">
        <v>4.1100000000000005E-2</v>
      </c>
      <c r="E18" s="80"/>
      <c r="F18" s="96"/>
      <c r="G18" s="84">
        <f t="shared" ref="G18:G27" si="1">IFERROR((1+$F19)*B18,"")</f>
        <v>36914799.83024212</v>
      </c>
      <c r="H18" s="84">
        <f t="shared" ref="H18:H26" si="2">IFERROR((1+$F19)*C18,"")</f>
        <v>13556262.672863862</v>
      </c>
      <c r="I18" s="85" t="str">
        <f t="shared" ref="I18:J28" si="3">IFERROR(G18/G17-1,"")</f>
        <v/>
      </c>
      <c r="J18" s="97" t="str">
        <f t="shared" si="3"/>
        <v/>
      </c>
      <c r="L18" s="228"/>
      <c r="M18" s="228"/>
      <c r="N18" s="162"/>
    </row>
    <row r="19" spans="1:14" ht="12.75" customHeight="1">
      <c r="A19" s="70">
        <f t="shared" si="0"/>
        <v>2010</v>
      </c>
      <c r="B19" s="71">
        <v>23075354.809268679</v>
      </c>
      <c r="C19" s="71">
        <f t="shared" ref="C19:C26" si="4">0.94*C20</f>
        <v>8564136.8161792327</v>
      </c>
      <c r="D19" s="90">
        <v>6.4600000000000005E-2</v>
      </c>
      <c r="E19" s="80"/>
      <c r="F19" s="96">
        <f>IF(D19="","",((1+F20)*(1+D19))-1)</f>
        <v>0.68394741285736793</v>
      </c>
      <c r="G19" s="84">
        <f t="shared" si="1"/>
        <v>36499797.13679675</v>
      </c>
      <c r="H19" s="84">
        <f t="shared" si="2"/>
        <v>13546455.039415326</v>
      </c>
      <c r="I19" s="85">
        <f t="shared" si="3"/>
        <v>-1.1242176453720942E-2</v>
      </c>
      <c r="J19" s="97">
        <f t="shared" si="3"/>
        <v>-7.2347620322876782E-4</v>
      </c>
      <c r="L19" s="228"/>
      <c r="M19" s="228"/>
      <c r="N19" s="162"/>
    </row>
    <row r="20" spans="1:14" ht="12.75" customHeight="1">
      <c r="A20" s="70">
        <f t="shared" si="0"/>
        <v>2011</v>
      </c>
      <c r="B20" s="71">
        <v>24289847.167651244</v>
      </c>
      <c r="C20" s="71">
        <f t="shared" si="4"/>
        <v>9110783.8469991833</v>
      </c>
      <c r="D20" s="90">
        <v>6.08E-2</v>
      </c>
      <c r="E20" s="80"/>
      <c r="F20" s="96">
        <f t="shared" ref="F20:F27" si="5">IF(D20="","",((1+F21)*(1+D20))-1)</f>
        <v>0.58176536995807626</v>
      </c>
      <c r="G20" s="84">
        <f t="shared" si="1"/>
        <v>36218739.716595963</v>
      </c>
      <c r="H20" s="84">
        <f t="shared" si="2"/>
        <v>13585145.533895861</v>
      </c>
      <c r="I20" s="85">
        <f t="shared" si="3"/>
        <v>-7.7002460903390357E-3</v>
      </c>
      <c r="J20" s="97">
        <f t="shared" si="3"/>
        <v>2.8561342704020998E-3</v>
      </c>
      <c r="L20" s="228"/>
      <c r="M20" s="228"/>
      <c r="N20" s="162"/>
    </row>
    <row r="21" spans="1:14" ht="12.75" customHeight="1">
      <c r="A21" s="70">
        <f t="shared" si="0"/>
        <v>2012</v>
      </c>
      <c r="B21" s="71">
        <v>25568260.176474996</v>
      </c>
      <c r="C21" s="71">
        <f t="shared" si="4"/>
        <v>9692323.241488494</v>
      </c>
      <c r="D21" s="90">
        <v>6.2E-2</v>
      </c>
      <c r="E21" s="80"/>
      <c r="F21" s="96">
        <f t="shared" si="5"/>
        <v>0.4911061179846119</v>
      </c>
      <c r="G21" s="84">
        <f t="shared" si="1"/>
        <v>35899236.511642352</v>
      </c>
      <c r="H21" s="84">
        <f t="shared" si="2"/>
        <v>13608552.243755121</v>
      </c>
      <c r="I21" s="85">
        <f t="shared" si="3"/>
        <v>-8.8214887501237849E-3</v>
      </c>
      <c r="J21" s="97">
        <f t="shared" si="3"/>
        <v>1.7229634972153463E-3</v>
      </c>
      <c r="L21" s="228"/>
      <c r="M21" s="228"/>
      <c r="N21" s="162"/>
    </row>
    <row r="22" spans="1:14" ht="12.75" customHeight="1">
      <c r="A22" s="70">
        <f t="shared" si="0"/>
        <v>2013</v>
      </c>
      <c r="B22" s="71">
        <v>26913958.080499995</v>
      </c>
      <c r="C22" s="71">
        <f t="shared" si="4"/>
        <v>10310982.171796272</v>
      </c>
      <c r="D22" s="90">
        <v>5.5599999999999997E-2</v>
      </c>
      <c r="E22" s="80"/>
      <c r="F22" s="96">
        <f t="shared" si="5"/>
        <v>0.40405472503259121</v>
      </c>
      <c r="G22" s="84">
        <f t="shared" si="1"/>
        <v>35798285.346963912</v>
      </c>
      <c r="H22" s="84">
        <f t="shared" si="2"/>
        <v>13714648.766613645</v>
      </c>
      <c r="I22" s="85">
        <f t="shared" si="3"/>
        <v>-2.8120699627052215E-3</v>
      </c>
      <c r="J22" s="97">
        <f t="shared" si="3"/>
        <v>7.7963122717341626E-3</v>
      </c>
      <c r="L22" s="228"/>
      <c r="M22" s="228"/>
      <c r="N22" s="162"/>
    </row>
    <row r="23" spans="1:14" ht="12.75" customHeight="1">
      <c r="A23" s="70">
        <f t="shared" si="0"/>
        <v>2014</v>
      </c>
      <c r="B23" s="71">
        <v>28330482.189999998</v>
      </c>
      <c r="C23" s="71">
        <f t="shared" si="4"/>
        <v>10969129.969996035</v>
      </c>
      <c r="D23" s="90">
        <v>6.2300000000000001E-2</v>
      </c>
      <c r="E23" s="80"/>
      <c r="F23" s="96">
        <f t="shared" si="5"/>
        <v>0.33010110366861611</v>
      </c>
      <c r="G23" s="84">
        <f t="shared" si="1"/>
        <v>35472470.703551792</v>
      </c>
      <c r="H23" s="84">
        <f t="shared" si="2"/>
        <v>13734398.832134256</v>
      </c>
      <c r="I23" s="85">
        <f t="shared" si="3"/>
        <v>-9.1014036078617133E-3</v>
      </c>
      <c r="J23" s="97">
        <f t="shared" si="3"/>
        <v>1.4400708218418323E-3</v>
      </c>
      <c r="L23" s="228"/>
      <c r="M23" s="228"/>
      <c r="N23" s="162"/>
    </row>
    <row r="24" spans="1:14" ht="12.75" customHeight="1">
      <c r="A24" s="70">
        <f t="shared" si="0"/>
        <v>2015</v>
      </c>
      <c r="B24" s="71">
        <v>29821560.199999999</v>
      </c>
      <c r="C24" s="71">
        <f t="shared" si="4"/>
        <v>11669287.202123443</v>
      </c>
      <c r="D24" s="90">
        <v>0.1128</v>
      </c>
      <c r="E24" s="80"/>
      <c r="F24" s="96">
        <f t="shared" si="5"/>
        <v>0.25209555085062241</v>
      </c>
      <c r="G24" s="84">
        <f t="shared" si="1"/>
        <v>33554495.727753408</v>
      </c>
      <c r="H24" s="84">
        <f t="shared" si="2"/>
        <v>13129998.730568718</v>
      </c>
      <c r="I24" s="85">
        <f t="shared" si="3"/>
        <v>-5.4069393469295068E-2</v>
      </c>
      <c r="J24" s="97">
        <f t="shared" si="3"/>
        <v>-4.4006301910457735E-2</v>
      </c>
      <c r="L24" s="228"/>
      <c r="M24" s="228"/>
      <c r="N24" s="162"/>
    </row>
    <row r="25" spans="1:14" ht="12.75" customHeight="1">
      <c r="A25" s="70">
        <f t="shared" si="0"/>
        <v>2016</v>
      </c>
      <c r="B25" s="71">
        <v>31391116</v>
      </c>
      <c r="C25" s="71">
        <f t="shared" si="4"/>
        <v>12414135.321407918</v>
      </c>
      <c r="D25" s="90">
        <v>6.5799999999999997E-2</v>
      </c>
      <c r="E25" s="80"/>
      <c r="F25" s="96">
        <f t="shared" si="5"/>
        <v>0.12517572865799997</v>
      </c>
      <c r="G25" s="84">
        <f t="shared" si="1"/>
        <v>33139915.386271156</v>
      </c>
      <c r="H25" s="84">
        <f t="shared" si="2"/>
        <v>13105726.924304904</v>
      </c>
      <c r="I25" s="85">
        <f t="shared" si="3"/>
        <v>-1.2355433526582416E-2</v>
      </c>
      <c r="J25" s="97">
        <f t="shared" si="3"/>
        <v>-1.8485764364397639E-3</v>
      </c>
      <c r="L25" s="228"/>
      <c r="M25" s="228"/>
      <c r="N25" s="162"/>
    </row>
    <row r="26" spans="1:14" ht="12.75" customHeight="1">
      <c r="A26" s="70">
        <f t="shared" si="0"/>
        <v>2017</v>
      </c>
      <c r="B26" s="71">
        <v>33043280</v>
      </c>
      <c r="C26" s="71">
        <f t="shared" si="4"/>
        <v>13206526.937667999</v>
      </c>
      <c r="D26" s="90">
        <v>2.07E-2</v>
      </c>
      <c r="E26" s="80"/>
      <c r="F26" s="96">
        <f t="shared" si="5"/>
        <v>5.5710009999999865E-2</v>
      </c>
      <c r="G26" s="84">
        <f t="shared" si="1"/>
        <v>34176664.504000001</v>
      </c>
      <c r="H26" s="84">
        <f t="shared" si="2"/>
        <v>13659510.811630012</v>
      </c>
      <c r="I26" s="85">
        <f t="shared" si="3"/>
        <v>3.1284000144379931E-2</v>
      </c>
      <c r="J26" s="97">
        <f t="shared" si="3"/>
        <v>4.2255106528894748E-2</v>
      </c>
      <c r="L26" s="228"/>
      <c r="M26" s="228"/>
      <c r="N26" s="162"/>
    </row>
    <row r="27" spans="1:14">
      <c r="A27" s="70">
        <f t="shared" si="0"/>
        <v>2018</v>
      </c>
      <c r="B27" s="71">
        <v>34782400</v>
      </c>
      <c r="C27" s="71">
        <f>0.94*C28</f>
        <v>14049496.7422</v>
      </c>
      <c r="D27" s="90">
        <v>3.4300000000000004E-2</v>
      </c>
      <c r="E27" s="80"/>
      <c r="F27" s="96">
        <f t="shared" si="5"/>
        <v>3.4299999999999997E-2</v>
      </c>
      <c r="G27" s="84">
        <f t="shared" si="1"/>
        <v>34782400</v>
      </c>
      <c r="H27" s="84">
        <f>IFERROR((1+$F28)*C27,"")</f>
        <v>14049496.7422</v>
      </c>
      <c r="I27" s="85">
        <f t="shared" si="3"/>
        <v>1.7723657495280376E-2</v>
      </c>
      <c r="J27" s="97">
        <f t="shared" si="3"/>
        <v>2.8550504915442865E-2</v>
      </c>
    </row>
    <row r="28" spans="1:14" ht="13.5" thickBot="1">
      <c r="A28" s="72">
        <f>C4-1</f>
        <v>2019</v>
      </c>
      <c r="B28" s="91">
        <v>39623474.390000001</v>
      </c>
      <c r="C28" s="91">
        <v>14946273.130000001</v>
      </c>
      <c r="D28" s="90">
        <v>0</v>
      </c>
      <c r="E28" s="80"/>
      <c r="F28" s="98">
        <f>IF(D28="","",((1+D29)*(1+D28))-1)</f>
        <v>0</v>
      </c>
      <c r="G28" s="99">
        <f>IFERROR((1+$D29)*B28,"")</f>
        <v>39623474.390000001</v>
      </c>
      <c r="H28" s="99">
        <f>IFERROR((1+$D29)*C28,"")</f>
        <v>14946273.130000001</v>
      </c>
      <c r="I28" s="100">
        <f t="shared" si="3"/>
        <v>0.13918172380284277</v>
      </c>
      <c r="J28" s="101">
        <f t="shared" si="3"/>
        <v>6.3829787234042534E-2</v>
      </c>
    </row>
    <row r="29" spans="1:14" s="73" customFormat="1">
      <c r="E29" s="55"/>
    </row>
    <row r="30" spans="1:14" s="73" customFormat="1">
      <c r="E30" s="55"/>
    </row>
    <row r="31" spans="1:14" s="73" customFormat="1">
      <c r="E31" s="55"/>
    </row>
    <row r="32" spans="1:14" s="73" customFormat="1" hidden="1">
      <c r="E32" s="55"/>
    </row>
    <row r="33" spans="5:5" s="73" customFormat="1" hidden="1">
      <c r="E33" s="55"/>
    </row>
    <row r="34" spans="5:5" s="73" customFormat="1" hidden="1">
      <c r="E34" s="55"/>
    </row>
    <row r="35" spans="5:5" s="73" customFormat="1" hidden="1">
      <c r="E35" s="55"/>
    </row>
    <row r="36" spans="5:5" s="73" customFormat="1" hidden="1">
      <c r="E36" s="55"/>
    </row>
    <row r="37" spans="5:5" s="73" customFormat="1" hidden="1">
      <c r="E37" s="55"/>
    </row>
    <row r="38" spans="5:5" s="73" customFormat="1" hidden="1">
      <c r="E38" s="55"/>
    </row>
    <row r="39" spans="5:5" s="73" customFormat="1" hidden="1">
      <c r="E39" s="55"/>
    </row>
    <row r="40" spans="5:5" s="73" customFormat="1" hidden="1">
      <c r="E40" s="55"/>
    </row>
    <row r="41" spans="5:5" s="73" customFormat="1" hidden="1">
      <c r="E41" s="55"/>
    </row>
    <row r="42" spans="5:5" s="73" customFormat="1" hidden="1">
      <c r="E42" s="55"/>
    </row>
    <row r="43" spans="5:5" s="73" customFormat="1" hidden="1">
      <c r="E43" s="55"/>
    </row>
    <row r="44" spans="5:5" s="73" customFormat="1" hidden="1">
      <c r="E44" s="55"/>
    </row>
    <row r="45" spans="5:5" s="73" customFormat="1" hidden="1">
      <c r="E45" s="55"/>
    </row>
    <row r="46" spans="5:5" s="73" customFormat="1" hidden="1">
      <c r="E46" s="55"/>
    </row>
    <row r="47" spans="5:5" s="73" customFormat="1" hidden="1">
      <c r="E47" s="55"/>
    </row>
    <row r="48" spans="5:5" s="73" customFormat="1" hidden="1">
      <c r="E48" s="55"/>
    </row>
    <row r="49" spans="5:5" s="73" customFormat="1" hidden="1">
      <c r="E49" s="55"/>
    </row>
    <row r="50" spans="5:5" s="73" customFormat="1" hidden="1">
      <c r="E50" s="55"/>
    </row>
    <row r="51" spans="5:5" s="73" customFormat="1" hidden="1">
      <c r="E51" s="55"/>
    </row>
    <row r="52" spans="5:5" s="73" customFormat="1" hidden="1">
      <c r="E52" s="55"/>
    </row>
    <row r="53" spans="5:5" s="73" customFormat="1" hidden="1">
      <c r="E53" s="55"/>
    </row>
    <row r="54" spans="5:5" s="73" customFormat="1" hidden="1">
      <c r="E54" s="55"/>
    </row>
    <row r="55" spans="5:5" hidden="1"/>
    <row r="56" spans="5:5" hidden="1"/>
    <row r="57" spans="5:5" hidden="1"/>
    <row r="58" spans="5:5" hidden="1"/>
    <row r="59" spans="5:5" hidden="1"/>
    <row r="60" spans="5:5" hidden="1"/>
    <row r="61" spans="5:5" hidden="1"/>
    <row r="62" spans="5:5" hidden="1"/>
    <row r="63" spans="5:5" hidden="1"/>
    <row r="64" spans="5:5" hidden="1"/>
    <row r="65" hidden="1"/>
    <row r="66" hidden="1"/>
    <row r="67" s="74" customFormat="1" hidden="1"/>
  </sheetData>
  <mergeCells count="9">
    <mergeCell ref="L24:M24"/>
    <mergeCell ref="L25:M25"/>
    <mergeCell ref="L26:M26"/>
    <mergeCell ref="L18:M18"/>
    <mergeCell ref="L19:M19"/>
    <mergeCell ref="L20:M20"/>
    <mergeCell ref="L21:M21"/>
    <mergeCell ref="L22:M22"/>
    <mergeCell ref="L23:M23"/>
  </mergeCells>
  <printOptions horizontalCentered="1"/>
  <pageMargins left="0.23622047244094491" right="0.31496062992125984" top="0.78740157480314965" bottom="0.78740157480314965" header="0.51181102362204722" footer="0.51181102362204722"/>
  <pageSetup paperSize="9" scale="51" fitToHeight="2" orientation="landscape" verticalDpi="300" r:id="rId1"/>
  <headerFooter alignWithMargins="0">
    <oddFooter>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showGridLines="0" zoomScale="85" zoomScaleNormal="85" zoomScaleSheetLayoutView="85" workbookViewId="0">
      <pane ySplit="7" topLeftCell="A8" activePane="bottomLeft" state="frozen"/>
      <selection pane="bottomLeft" activeCell="L8" sqref="L8:L43"/>
    </sheetView>
  </sheetViews>
  <sheetFormatPr defaultColWidth="0" defaultRowHeight="12.75" zeroHeight="1"/>
  <cols>
    <col min="1" max="1" width="6.28515625" style="55" customWidth="1"/>
    <col min="2" max="2" width="4.85546875" style="55" customWidth="1"/>
    <col min="3" max="3" width="13.7109375" style="55" customWidth="1"/>
    <col min="4" max="4" width="14.28515625" style="55" customWidth="1"/>
    <col min="5" max="6" width="15.42578125" style="55" customWidth="1"/>
    <col min="7" max="7" width="14.28515625" style="55" customWidth="1"/>
    <col min="8" max="9" width="14.7109375" style="55" customWidth="1"/>
    <col min="10" max="10" width="17.5703125" style="55" customWidth="1"/>
    <col min="11" max="11" width="14.7109375" style="55" customWidth="1"/>
    <col min="12" max="12" width="14.42578125" style="55" customWidth="1"/>
    <col min="13" max="13" width="19" style="80" customWidth="1"/>
    <col min="14" max="23" width="0" style="55" hidden="1" customWidth="1"/>
    <col min="24" max="16384" width="19" style="55" hidden="1"/>
  </cols>
  <sheetData>
    <row r="1" spans="1:23" s="53" customFormat="1" ht="18">
      <c r="A1" s="75" t="s">
        <v>117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115"/>
    </row>
    <row r="2" spans="1:23" s="53" customFormat="1">
      <c r="A2" s="55"/>
      <c r="B2" s="55"/>
      <c r="C2" s="55"/>
      <c r="D2" s="55"/>
      <c r="G2" s="55"/>
      <c r="M2" s="115"/>
    </row>
    <row r="3" spans="1:23" s="116" customFormat="1">
      <c r="A3" s="116" t="s">
        <v>118</v>
      </c>
      <c r="D3" s="57"/>
      <c r="E3" s="57"/>
      <c r="F3" s="57"/>
      <c r="G3" s="57"/>
      <c r="H3" s="57"/>
      <c r="I3" s="57"/>
      <c r="J3" s="57"/>
      <c r="K3" s="57"/>
      <c r="L3" s="57"/>
      <c r="M3" s="117"/>
    </row>
    <row r="4" spans="1:23" s="116" customFormat="1">
      <c r="D4" s="57"/>
      <c r="E4" s="57"/>
      <c r="F4" s="57"/>
      <c r="G4" s="57"/>
      <c r="H4" s="57"/>
      <c r="I4" s="57"/>
      <c r="J4" s="57"/>
      <c r="K4" s="57"/>
      <c r="L4" s="57"/>
      <c r="M4" s="117"/>
    </row>
    <row r="5" spans="1:23" s="56" customFormat="1">
      <c r="A5" s="229" t="s">
        <v>119</v>
      </c>
      <c r="B5" s="229"/>
      <c r="C5" s="229"/>
      <c r="D5" s="229"/>
      <c r="E5" s="229"/>
      <c r="F5" s="229"/>
      <c r="G5" s="124">
        <f>'01- Histórico'!C12+'01- Histórico'!C13/'01- Histórico'!B28</f>
        <v>0</v>
      </c>
      <c r="M5" s="80"/>
      <c r="Q5" s="55"/>
      <c r="R5" s="55"/>
      <c r="S5" s="55"/>
      <c r="T5" s="55"/>
      <c r="U5" s="55"/>
      <c r="W5" s="55"/>
    </row>
    <row r="6" spans="1:23" ht="13.5" thickBot="1"/>
    <row r="7" spans="1:23" s="69" customFormat="1" ht="51">
      <c r="A7" s="118" t="s">
        <v>112</v>
      </c>
      <c r="B7" s="119" t="s">
        <v>120</v>
      </c>
      <c r="C7" s="93" t="str">
        <f>'01- Histórico'!B17</f>
        <v>RECEITA CORRENTE LÍQUIDA - RCL</v>
      </c>
      <c r="D7" s="120" t="s">
        <v>109</v>
      </c>
      <c r="E7" s="94" t="s">
        <v>131</v>
      </c>
      <c r="F7" s="94" t="s">
        <v>121</v>
      </c>
      <c r="G7" s="121" t="s">
        <v>122</v>
      </c>
      <c r="H7" s="93" t="s">
        <v>123</v>
      </c>
      <c r="I7" s="93" t="s">
        <v>124</v>
      </c>
      <c r="J7" s="93" t="s">
        <v>125</v>
      </c>
      <c r="K7" s="93" t="s">
        <v>126</v>
      </c>
      <c r="L7" s="122" t="s">
        <v>127</v>
      </c>
      <c r="M7" s="123"/>
    </row>
    <row r="8" spans="1:23">
      <c r="A8" s="125">
        <f>'01- Histórico'!A28</f>
        <v>2019</v>
      </c>
      <c r="B8" s="126">
        <v>0</v>
      </c>
      <c r="C8" s="84">
        <f>'01- Histórico'!B28</f>
        <v>39623474.390000001</v>
      </c>
      <c r="D8" s="84">
        <f>'Anexo 1 - Despesa com Pessoal '!F13</f>
        <v>14946273.130000001</v>
      </c>
      <c r="E8" s="84">
        <f>'Fluxo e Duração do Passivo'!E10</f>
        <v>10272416.310000001</v>
      </c>
      <c r="F8" s="84">
        <f>'Fluxo e Duração do Passivo'!AS10+'Fluxo e Duração do Passivo'!AZ10</f>
        <v>3895234.6</v>
      </c>
      <c r="G8" s="84">
        <f>'Fluxo e Duração do Passivo'!M10</f>
        <v>308083.03999999998</v>
      </c>
      <c r="H8" s="129">
        <f>'Fluxo e Duração do Passivo'!AO10</f>
        <v>3367514.7842919687</v>
      </c>
      <c r="I8" s="129">
        <f>'Fluxo e Duração do Passivo'!AP10</f>
        <v>0</v>
      </c>
      <c r="J8" s="129">
        <f>'Fluxo e Duração do Passivo'!BK10</f>
        <v>292784.48428999999</v>
      </c>
      <c r="K8" s="129">
        <f t="shared" ref="K8:K43" si="0">D8+G8+H8+I8+IF(J8&lt;0,J8*-1,0)</f>
        <v>18621870.95429197</v>
      </c>
      <c r="L8" s="130">
        <f>'Fluxo e Duração do Passivo'!BO10</f>
        <v>292784.48428999999</v>
      </c>
    </row>
    <row r="9" spans="1:23">
      <c r="A9" s="125">
        <f>A8+1</f>
        <v>2020</v>
      </c>
      <c r="B9" s="126">
        <f>B8+1</f>
        <v>1</v>
      </c>
      <c r="C9" s="84">
        <f>C8*1.05</f>
        <v>41604648.109500006</v>
      </c>
      <c r="D9" s="84">
        <f>D8*1.05</f>
        <v>15693586.786500001</v>
      </c>
      <c r="E9" s="84">
        <f>'Fluxo e Duração do Passivo'!E11</f>
        <v>10754585.449999999</v>
      </c>
      <c r="F9" s="84">
        <f>'Fluxo e Duração do Passivo'!AS11+'Fluxo e Duração do Passivo'!AZ11</f>
        <v>4127046.2199999997</v>
      </c>
      <c r="G9" s="84">
        <f>'Fluxo e Duração do Passivo'!M11</f>
        <v>326568.03999999998</v>
      </c>
      <c r="H9" s="129">
        <f>'Fluxo e Duração do Passivo'!AO11</f>
        <v>3401189.9321348881</v>
      </c>
      <c r="I9" s="129">
        <f>'Fluxo e Duração do Passivo'!AP11</f>
        <v>0</v>
      </c>
      <c r="J9" s="129">
        <f>'Fluxo e Duração do Passivo'!BK11</f>
        <v>149952.14212999999</v>
      </c>
      <c r="K9" s="129">
        <f t="shared" si="0"/>
        <v>19421344.758634888</v>
      </c>
      <c r="L9" s="130">
        <f>'Fluxo e Duração do Passivo'!BO11</f>
        <v>460303.69547999999</v>
      </c>
    </row>
    <row r="10" spans="1:23">
      <c r="A10" s="125">
        <f t="shared" ref="A10:B25" si="1">A9+1</f>
        <v>2021</v>
      </c>
      <c r="B10" s="126">
        <f t="shared" si="1"/>
        <v>2</v>
      </c>
      <c r="C10" s="84">
        <f t="shared" ref="C10:C43" si="2">C9*1.05</f>
        <v>43684880.514975011</v>
      </c>
      <c r="D10" s="84">
        <f t="shared" ref="D10:D43" si="3">D9*1.005</f>
        <v>15772054.720432499</v>
      </c>
      <c r="E10" s="84">
        <f>'Fluxo e Duração do Passivo'!E12</f>
        <v>11004091.83</v>
      </c>
      <c r="F10" s="84">
        <f>'Fluxo e Duração do Passivo'!AS12+'Fluxo e Duração do Passivo'!AZ12</f>
        <v>4384027.49</v>
      </c>
      <c r="G10" s="84">
        <f>'Fluxo e Duração do Passivo'!M12</f>
        <v>346162.73</v>
      </c>
      <c r="H10" s="129">
        <f>'Fluxo e Duração do Passivo'!AO12</f>
        <v>3435201.831456237</v>
      </c>
      <c r="I10" s="129">
        <f>'Fluxo e Duração do Passivo'!AP12</f>
        <v>0</v>
      </c>
      <c r="J10" s="129">
        <f>'Fluxo e Duração do Passivo'!BK12</f>
        <v>-3452.01854</v>
      </c>
      <c r="K10" s="129">
        <f t="shared" si="0"/>
        <v>19556871.300428737</v>
      </c>
      <c r="L10" s="130">
        <f>'Fluxo e Duração do Passivo'!BO12</f>
        <v>484469.89867000002</v>
      </c>
    </row>
    <row r="11" spans="1:23">
      <c r="A11" s="125">
        <f t="shared" si="1"/>
        <v>2022</v>
      </c>
      <c r="B11" s="126">
        <f t="shared" si="1"/>
        <v>3</v>
      </c>
      <c r="C11" s="84">
        <f t="shared" si="2"/>
        <v>45869124.540723763</v>
      </c>
      <c r="D11" s="84">
        <f t="shared" si="3"/>
        <v>15850914.994034661</v>
      </c>
      <c r="E11" s="84">
        <f>'Fluxo e Duração do Passivo'!E13</f>
        <v>11259386.77</v>
      </c>
      <c r="F11" s="84">
        <f>'Fluxo e Duração do Passivo'!AS13+'Fluxo e Duração do Passivo'!AZ13</f>
        <v>4644426.82</v>
      </c>
      <c r="G11" s="84">
        <f>'Fluxo e Duração do Passivo'!M13</f>
        <v>366934.19</v>
      </c>
      <c r="H11" s="129">
        <f>'Fluxo e Duração do Passivo'!AO13</f>
        <v>3469553.8497707993</v>
      </c>
      <c r="I11" s="129">
        <f>'Fluxo e Duração do Passivo'!AP13</f>
        <v>0</v>
      </c>
      <c r="J11" s="129">
        <f>'Fluxo e Duração do Passivo'!BK13</f>
        <v>-165104.30022999999</v>
      </c>
      <c r="K11" s="129">
        <f t="shared" si="0"/>
        <v>19852507.33403546</v>
      </c>
      <c r="L11" s="130">
        <f>'Fluxo e Duração do Passivo'!BO13</f>
        <v>348433.79236000002</v>
      </c>
    </row>
    <row r="12" spans="1:23">
      <c r="A12" s="125">
        <f t="shared" si="1"/>
        <v>2023</v>
      </c>
      <c r="B12" s="126">
        <f t="shared" si="1"/>
        <v>4</v>
      </c>
      <c r="C12" s="84">
        <f t="shared" si="2"/>
        <v>48162580.767759956</v>
      </c>
      <c r="D12" s="84">
        <f t="shared" si="3"/>
        <v>15930169.569004832</v>
      </c>
      <c r="E12" s="84">
        <f>'Fluxo e Duração do Passivo'!E14</f>
        <v>11520604.539999999</v>
      </c>
      <c r="F12" s="84">
        <f>'Fluxo e Duração do Passivo'!AS14+'Fluxo e Duração do Passivo'!AZ14</f>
        <v>4888907.09</v>
      </c>
      <c r="G12" s="84">
        <f>'Fluxo e Duração do Passivo'!M14</f>
        <v>388952.41</v>
      </c>
      <c r="H12" s="129">
        <f>'Fluxo e Duração do Passivo'!AO14</f>
        <v>3504249.3882685076</v>
      </c>
      <c r="I12" s="129">
        <f>'Fluxo e Duração do Passivo'!AP14</f>
        <v>0</v>
      </c>
      <c r="J12" s="129">
        <f>'Fluxo e Duração do Passivo'!BK14</f>
        <v>-311761.80173000001</v>
      </c>
      <c r="K12" s="129">
        <f t="shared" si="0"/>
        <v>20135133.169003338</v>
      </c>
      <c r="L12" s="130">
        <f>'Fluxo e Duração do Passivo'!BO14</f>
        <v>57578.018170000003</v>
      </c>
    </row>
    <row r="13" spans="1:23">
      <c r="A13" s="125">
        <f t="shared" si="1"/>
        <v>2024</v>
      </c>
      <c r="B13" s="126">
        <f t="shared" si="1"/>
        <v>5</v>
      </c>
      <c r="C13" s="84">
        <f t="shared" si="2"/>
        <v>50570709.806147955</v>
      </c>
      <c r="D13" s="84">
        <f t="shared" si="3"/>
        <v>16009820.416849853</v>
      </c>
      <c r="E13" s="84">
        <f>'Fluxo e Duração do Passivo'!E15</f>
        <v>11787882.560000001</v>
      </c>
      <c r="F13" s="84">
        <f>'Fluxo e Duração do Passivo'!AS15+'Fluxo e Duração do Passivo'!AZ15</f>
        <v>5208937.4800000004</v>
      </c>
      <c r="G13" s="84">
        <f>'Fluxo e Duração do Passivo'!M15</f>
        <v>412291.59</v>
      </c>
      <c r="H13" s="129">
        <f>'Fluxo e Duração do Passivo'!AO15</f>
        <v>3539291.882151193</v>
      </c>
      <c r="I13" s="129">
        <f>'Fluxo e Duração do Passivo'!AP15</f>
        <v>0</v>
      </c>
      <c r="J13" s="129">
        <f>'Fluxo e Duração do Passivo'!BK15</f>
        <v>-517040.69785</v>
      </c>
      <c r="K13" s="129">
        <f t="shared" si="0"/>
        <v>20478444.586851045</v>
      </c>
      <c r="L13" s="130">
        <f>'Fluxo e Duração do Passivo'!BO15</f>
        <v>0</v>
      </c>
    </row>
    <row r="14" spans="1:23">
      <c r="A14" s="125">
        <f t="shared" si="1"/>
        <v>2025</v>
      </c>
      <c r="B14" s="126">
        <f t="shared" si="1"/>
        <v>6</v>
      </c>
      <c r="C14" s="84">
        <f t="shared" si="2"/>
        <v>53099245.296455353</v>
      </c>
      <c r="D14" s="84">
        <f t="shared" si="3"/>
        <v>16089869.518934101</v>
      </c>
      <c r="E14" s="84">
        <f>'Fluxo e Duração do Passivo'!E16</f>
        <v>12061361.439999999</v>
      </c>
      <c r="F14" s="84">
        <f>'Fluxo e Duração do Passivo'!AS16+'Fluxo e Duração do Passivo'!AZ16</f>
        <v>5531938.7699999996</v>
      </c>
      <c r="G14" s="84">
        <f>'Fluxo e Duração do Passivo'!M16</f>
        <v>437027</v>
      </c>
      <c r="H14" s="129">
        <f>'Fluxo e Duração do Passivo'!AO16</f>
        <v>3574684.8009727043</v>
      </c>
      <c r="I14" s="129">
        <f>'Fluxo e Duração do Passivo'!AP16</f>
        <v>0</v>
      </c>
      <c r="J14" s="129">
        <f>'Fluxo e Duração do Passivo'!BK16</f>
        <v>-722840.99902999995</v>
      </c>
      <c r="K14" s="129">
        <f t="shared" si="0"/>
        <v>20824422.318936806</v>
      </c>
      <c r="L14" s="130">
        <f>'Fluxo e Duração do Passivo'!BO16</f>
        <v>0</v>
      </c>
    </row>
    <row r="15" spans="1:23">
      <c r="A15" s="125">
        <f t="shared" si="1"/>
        <v>2026</v>
      </c>
      <c r="B15" s="126">
        <f t="shared" si="1"/>
        <v>7</v>
      </c>
      <c r="C15" s="84">
        <f t="shared" si="2"/>
        <v>55754207.561278127</v>
      </c>
      <c r="D15" s="84">
        <f t="shared" si="3"/>
        <v>16170318.86652877</v>
      </c>
      <c r="E15" s="84">
        <f>'Fluxo e Duração do Passivo'!E17</f>
        <v>12341185.02</v>
      </c>
      <c r="F15" s="84">
        <f>'Fluxo e Duração do Passivo'!AS17+'Fluxo e Duração do Passivo'!AZ17</f>
        <v>5830044.54</v>
      </c>
      <c r="G15" s="84">
        <f>'Fluxo e Duração do Passivo'!M17</f>
        <v>463245.52</v>
      </c>
      <c r="H15" s="129">
        <f>'Fluxo e Duração do Passivo'!AO17</f>
        <v>3610431.6489824317</v>
      </c>
      <c r="I15" s="129">
        <f>'Fluxo e Duração do Passivo'!AP17</f>
        <v>0</v>
      </c>
      <c r="J15" s="129">
        <f>'Fluxo e Duração do Passivo'!BK17</f>
        <v>-908127.34102000005</v>
      </c>
      <c r="K15" s="129">
        <f t="shared" si="0"/>
        <v>21152123.376531202</v>
      </c>
      <c r="L15" s="130">
        <f>'Fluxo e Duração do Passivo'!BO17</f>
        <v>0</v>
      </c>
    </row>
    <row r="16" spans="1:23">
      <c r="A16" s="125">
        <f t="shared" si="1"/>
        <v>2027</v>
      </c>
      <c r="B16" s="126">
        <f t="shared" si="1"/>
        <v>8</v>
      </c>
      <c r="C16" s="84">
        <f t="shared" si="2"/>
        <v>58541917.939342037</v>
      </c>
      <c r="D16" s="84">
        <f t="shared" si="3"/>
        <v>16251170.460861413</v>
      </c>
      <c r="E16" s="84">
        <f>'Fluxo e Duração do Passivo'!E18</f>
        <v>12627500.52</v>
      </c>
      <c r="F16" s="84">
        <f>'Fluxo e Duração do Passivo'!AS18+'Fluxo e Duração do Passivo'!AZ18</f>
        <v>6178382.4000000004</v>
      </c>
      <c r="G16" s="84">
        <f>'Fluxo e Duração do Passivo'!M18</f>
        <v>491037.88</v>
      </c>
      <c r="H16" s="129">
        <f>'Fluxo e Duração do Passivo'!AO18</f>
        <v>3646535.9654722568</v>
      </c>
      <c r="I16" s="129">
        <f>'Fluxo e Duração do Passivo'!AP18</f>
        <v>0</v>
      </c>
      <c r="J16" s="129">
        <f>'Fluxo e Duração do Passivo'!BK18</f>
        <v>-1141003.92453</v>
      </c>
      <c r="K16" s="129">
        <f t="shared" si="0"/>
        <v>21529748.230863668</v>
      </c>
      <c r="L16" s="130">
        <f>'Fluxo e Duração do Passivo'!BO18</f>
        <v>0</v>
      </c>
    </row>
    <row r="17" spans="1:12">
      <c r="A17" s="125">
        <f t="shared" si="1"/>
        <v>2028</v>
      </c>
      <c r="B17" s="126">
        <f t="shared" si="1"/>
        <v>9</v>
      </c>
      <c r="C17" s="84">
        <f t="shared" si="2"/>
        <v>61469013.836309142</v>
      </c>
      <c r="D17" s="84">
        <f t="shared" si="3"/>
        <v>16332426.313165719</v>
      </c>
      <c r="E17" s="84">
        <f>'Fluxo e Duração do Passivo'!E19</f>
        <v>12920458.529999999</v>
      </c>
      <c r="F17" s="84">
        <f>'Fluxo e Duração do Passivo'!AS19+'Fluxo e Duração do Passivo'!AZ19</f>
        <v>6520688.4800000004</v>
      </c>
      <c r="G17" s="84">
        <f>'Fluxo e Duração do Passivo'!M19</f>
        <v>520496.21</v>
      </c>
      <c r="H17" s="129">
        <f>'Fluxo e Duração do Passivo'!AO19</f>
        <v>3683001.3251269795</v>
      </c>
      <c r="I17" s="129">
        <f>'Fluxo e Duração do Passivo'!AP19</f>
        <v>0</v>
      </c>
      <c r="J17" s="129">
        <f>'Fluxo e Duração do Passivo'!BK19</f>
        <v>-1362158.8448699999</v>
      </c>
      <c r="K17" s="129">
        <f t="shared" si="0"/>
        <v>21898082.693162698</v>
      </c>
      <c r="L17" s="130">
        <f>'Fluxo e Duração do Passivo'!BO19</f>
        <v>0</v>
      </c>
    </row>
    <row r="18" spans="1:12">
      <c r="A18" s="125">
        <f t="shared" si="1"/>
        <v>2029</v>
      </c>
      <c r="B18" s="126">
        <f t="shared" si="1"/>
        <v>10</v>
      </c>
      <c r="C18" s="84">
        <f t="shared" si="2"/>
        <v>64542464.528124601</v>
      </c>
      <c r="D18" s="84">
        <f t="shared" si="3"/>
        <v>16414088.444731545</v>
      </c>
      <c r="E18" s="84">
        <f>'Fluxo e Duração do Passivo'!E20</f>
        <v>13220213.17</v>
      </c>
      <c r="F18" s="84">
        <f>'Fluxo e Duração do Passivo'!AS20+'Fluxo e Duração do Passivo'!AZ20</f>
        <v>6659989.3799999999</v>
      </c>
      <c r="G18" s="84">
        <f>'Fluxo e Duração do Passivo'!M20</f>
        <v>551728.53</v>
      </c>
      <c r="H18" s="129">
        <f>'Fluxo e Duração do Passivo'!AO20</f>
        <v>3719831.3383782483</v>
      </c>
      <c r="I18" s="129">
        <f>'Fluxo e Duração do Passivo'!AP20</f>
        <v>0</v>
      </c>
      <c r="J18" s="129">
        <f>'Fluxo e Duração do Passivo'!BK20</f>
        <v>-1398968.46162</v>
      </c>
      <c r="K18" s="129">
        <f t="shared" si="0"/>
        <v>22084616.774729792</v>
      </c>
      <c r="L18" s="130">
        <f>'Fluxo e Duração do Passivo'!BO20</f>
        <v>0</v>
      </c>
    </row>
    <row r="19" spans="1:12">
      <c r="A19" s="125">
        <f t="shared" si="1"/>
        <v>2030</v>
      </c>
      <c r="B19" s="126">
        <f t="shared" si="1"/>
        <v>11</v>
      </c>
      <c r="C19" s="84">
        <f t="shared" si="2"/>
        <v>67769587.754530832</v>
      </c>
      <c r="D19" s="84">
        <f t="shared" si="3"/>
        <v>16496158.8869552</v>
      </c>
      <c r="E19" s="84">
        <f>'Fluxo e Duração do Passivo'!E21</f>
        <v>13526922.109999999</v>
      </c>
      <c r="F19" s="84">
        <f>'Fluxo e Duração do Passivo'!AS21+'Fluxo e Duração do Passivo'!AZ21</f>
        <v>6888994.3900000006</v>
      </c>
      <c r="G19" s="84">
        <f>'Fluxo e Duração do Passivo'!M21</f>
        <v>584834.07999999996</v>
      </c>
      <c r="H19" s="129">
        <f>'Fluxo e Duração do Passivo'!AO21</f>
        <v>3757029.6517620306</v>
      </c>
      <c r="I19" s="129">
        <f>'Fluxo e Duração do Passivo'!AP21</f>
        <v>0</v>
      </c>
      <c r="J19" s="129">
        <f>'Fluxo e Duração do Passivo'!BK21</f>
        <v>-1506914.08824</v>
      </c>
      <c r="K19" s="129">
        <f t="shared" si="0"/>
        <v>22344936.706957232</v>
      </c>
      <c r="L19" s="130">
        <f>'Fluxo e Duração do Passivo'!BO21</f>
        <v>0</v>
      </c>
    </row>
    <row r="20" spans="1:12">
      <c r="A20" s="125">
        <f t="shared" si="1"/>
        <v>2031</v>
      </c>
      <c r="B20" s="126">
        <f t="shared" si="1"/>
        <v>12</v>
      </c>
      <c r="C20" s="84">
        <f t="shared" si="2"/>
        <v>71158067.142257378</v>
      </c>
      <c r="D20" s="84">
        <f t="shared" si="3"/>
        <v>16578639.681389974</v>
      </c>
      <c r="E20" s="84">
        <f>'Fluxo e Duração do Passivo'!E22</f>
        <v>13840746.710000001</v>
      </c>
      <c r="F20" s="84">
        <f>'Fluxo e Duração do Passivo'!AS22+'Fluxo e Duração do Passivo'!AZ22</f>
        <v>7213167.6799999997</v>
      </c>
      <c r="G20" s="84">
        <f>'Fluxo e Duração do Passivo'!M22</f>
        <v>619924.16</v>
      </c>
      <c r="H20" s="129">
        <f>'Fluxo e Duração do Passivo'!AO22</f>
        <v>3794599.9482796513</v>
      </c>
      <c r="I20" s="129">
        <f>'Fluxo e Duração do Passivo'!AP22</f>
        <v>0</v>
      </c>
      <c r="J20" s="129">
        <f>'Fluxo e Duração do Passivo'!BK22</f>
        <v>-1693321.70172</v>
      </c>
      <c r="K20" s="129">
        <f t="shared" si="0"/>
        <v>22686485.491389625</v>
      </c>
      <c r="L20" s="130">
        <f>'Fluxo e Duração do Passivo'!BO22</f>
        <v>0</v>
      </c>
    </row>
    <row r="21" spans="1:12">
      <c r="A21" s="125">
        <f t="shared" si="1"/>
        <v>2032</v>
      </c>
      <c r="B21" s="126">
        <f t="shared" si="1"/>
        <v>13</v>
      </c>
      <c r="C21" s="84">
        <f t="shared" si="2"/>
        <v>74715970.499370247</v>
      </c>
      <c r="D21" s="84">
        <f t="shared" si="3"/>
        <v>16661532.879796922</v>
      </c>
      <c r="E21" s="84">
        <f>'Fluxo e Duração do Passivo'!E23</f>
        <v>14136120.98</v>
      </c>
      <c r="F21" s="84">
        <f>'Fluxo e Duração do Passivo'!AS23+'Fluxo e Duração do Passivo'!AZ23</f>
        <v>7286969.0800000001</v>
      </c>
      <c r="G21" s="84">
        <f>'Fluxo e Duração do Passivo'!M23</f>
        <v>656636.11</v>
      </c>
      <c r="H21" s="129">
        <f>'Fluxo e Duração do Passivo'!AO23</f>
        <v>3832545.9477624483</v>
      </c>
      <c r="I21" s="129">
        <f>'Fluxo e Duração do Passivo'!AP23</f>
        <v>0</v>
      </c>
      <c r="J21" s="129">
        <f>'Fluxo e Duração do Passivo'!BK23</f>
        <v>-1649146.5122400001</v>
      </c>
      <c r="K21" s="129">
        <f t="shared" si="0"/>
        <v>22799861.44979937</v>
      </c>
      <c r="L21" s="130">
        <f>'Fluxo e Duração do Passivo'!BO23</f>
        <v>0</v>
      </c>
    </row>
    <row r="22" spans="1:12">
      <c r="A22" s="125">
        <f t="shared" si="1"/>
        <v>2033</v>
      </c>
      <c r="B22" s="126">
        <f t="shared" si="1"/>
        <v>14</v>
      </c>
      <c r="C22" s="84">
        <f t="shared" si="2"/>
        <v>78451769.024338767</v>
      </c>
      <c r="D22" s="84">
        <f t="shared" si="3"/>
        <v>16744840.544195905</v>
      </c>
      <c r="E22" s="84">
        <f>'Fluxo e Duração do Passivo'!E24</f>
        <v>14464078.98</v>
      </c>
      <c r="F22" s="84">
        <f>'Fluxo e Duração do Passivo'!AS24+'Fluxo e Duração do Passivo'!AZ24</f>
        <v>7574752.71</v>
      </c>
      <c r="G22" s="84">
        <f>'Fluxo e Duração do Passivo'!M24</f>
        <v>696040.97</v>
      </c>
      <c r="H22" s="129">
        <f>'Fluxo e Duração do Passivo'!AO24</f>
        <v>3870871.4072400718</v>
      </c>
      <c r="I22" s="129">
        <f>'Fluxo e Duração do Passivo'!AP24</f>
        <v>0</v>
      </c>
      <c r="J22" s="129">
        <f>'Fluxo e Duração do Passivo'!BK24</f>
        <v>-1793284.19276</v>
      </c>
      <c r="K22" s="129">
        <f t="shared" si="0"/>
        <v>23105037.114195973</v>
      </c>
      <c r="L22" s="130">
        <f>'Fluxo e Duração do Passivo'!BO24</f>
        <v>0</v>
      </c>
    </row>
    <row r="23" spans="1:12">
      <c r="A23" s="125">
        <f t="shared" si="1"/>
        <v>2034</v>
      </c>
      <c r="B23" s="126">
        <f t="shared" si="1"/>
        <v>15</v>
      </c>
      <c r="C23" s="84">
        <f t="shared" si="2"/>
        <v>82374357.475555703</v>
      </c>
      <c r="D23" s="84">
        <f t="shared" si="3"/>
        <v>16828564.746916883</v>
      </c>
      <c r="E23" s="84">
        <f>'Fluxo e Duração do Passivo'!E25</f>
        <v>14760962.779999999</v>
      </c>
      <c r="F23" s="84">
        <f>'Fluxo e Duração do Passivo'!AS25+'Fluxo e Duração do Passivo'!AZ25</f>
        <v>7828714.8399999999</v>
      </c>
      <c r="G23" s="84">
        <f>'Fluxo e Duração do Passivo'!M25</f>
        <v>737042.56</v>
      </c>
      <c r="H23" s="129">
        <f>'Fluxo e Duração do Passivo'!AO25</f>
        <v>3909580.1213124739</v>
      </c>
      <c r="I23" s="129">
        <f>'Fluxo e Duração do Passivo'!AP25</f>
        <v>0</v>
      </c>
      <c r="J23" s="129">
        <f>'Fluxo e Duração do Passivo'!BK25</f>
        <v>-1899579.1086899999</v>
      </c>
      <c r="K23" s="129">
        <f t="shared" si="0"/>
        <v>23374766.536919355</v>
      </c>
      <c r="L23" s="130">
        <f>'Fluxo e Duração do Passivo'!BO25</f>
        <v>0</v>
      </c>
    </row>
    <row r="24" spans="1:12">
      <c r="A24" s="125">
        <f t="shared" si="1"/>
        <v>2035</v>
      </c>
      <c r="B24" s="126">
        <f t="shared" si="1"/>
        <v>16</v>
      </c>
      <c r="C24" s="84">
        <f t="shared" si="2"/>
        <v>86493075.349333495</v>
      </c>
      <c r="D24" s="84">
        <f t="shared" si="3"/>
        <v>16912707.570651464</v>
      </c>
      <c r="E24" s="84">
        <f>'Fluxo e Duração do Passivo'!E26</f>
        <v>15038214.98</v>
      </c>
      <c r="F24" s="84">
        <f>'Fluxo e Duração do Passivo'!AS26+'Fluxo e Duração do Passivo'!AZ26</f>
        <v>8100214.5800000001</v>
      </c>
      <c r="G24" s="84">
        <f>'Fluxo e Duração do Passivo'!M26</f>
        <v>781262.73</v>
      </c>
      <c r="H24" s="129">
        <f>'Fluxo e Duração do Passivo'!AO26</f>
        <v>3948675.9225255987</v>
      </c>
      <c r="I24" s="129">
        <f>'Fluxo e Duração do Passivo'!AP26</f>
        <v>0</v>
      </c>
      <c r="J24" s="129">
        <f>'Fluxo e Duração do Passivo'!BK26</f>
        <v>-1993470.0774699999</v>
      </c>
      <c r="K24" s="129">
        <f t="shared" si="0"/>
        <v>23636116.300647065</v>
      </c>
      <c r="L24" s="130">
        <f>'Fluxo e Duração do Passivo'!BO26</f>
        <v>0</v>
      </c>
    </row>
    <row r="25" spans="1:12">
      <c r="A25" s="125">
        <f t="shared" si="1"/>
        <v>2036</v>
      </c>
      <c r="B25" s="126">
        <f t="shared" si="1"/>
        <v>17</v>
      </c>
      <c r="C25" s="84">
        <f t="shared" si="2"/>
        <v>90817729.116800174</v>
      </c>
      <c r="D25" s="84">
        <f t="shared" si="3"/>
        <v>16997271.10850472</v>
      </c>
      <c r="E25" s="84">
        <f>'Fluxo e Duração do Passivo'!E27</f>
        <v>15357959.689999999</v>
      </c>
      <c r="F25" s="84">
        <f>'Fluxo e Duração do Passivo'!AS27+'Fluxo e Duração do Passivo'!AZ27</f>
        <v>8306493.5700000003</v>
      </c>
      <c r="G25" s="84">
        <f>'Fluxo e Duração do Passivo'!M27</f>
        <v>827552.45</v>
      </c>
      <c r="H25" s="129">
        <f>'Fluxo e Duração do Passivo'!AO27</f>
        <v>3988162.6817508545</v>
      </c>
      <c r="I25" s="129">
        <f>'Fluxo e Duração do Passivo'!AP27</f>
        <v>0</v>
      </c>
      <c r="J25" s="129">
        <f>'Fluxo e Duração do Passivo'!BK27</f>
        <v>-2044365.34825</v>
      </c>
      <c r="K25" s="129">
        <f t="shared" si="0"/>
        <v>23857351.588505574</v>
      </c>
      <c r="L25" s="130">
        <f>'Fluxo e Duração do Passivo'!BO27</f>
        <v>0</v>
      </c>
    </row>
    <row r="26" spans="1:12">
      <c r="A26" s="125">
        <f t="shared" ref="A26:B41" si="4">A25+1</f>
        <v>2037</v>
      </c>
      <c r="B26" s="126">
        <f t="shared" si="4"/>
        <v>18</v>
      </c>
      <c r="C26" s="84">
        <f t="shared" si="2"/>
        <v>95358615.572640181</v>
      </c>
      <c r="D26" s="84">
        <f t="shared" si="3"/>
        <v>17082257.464047242</v>
      </c>
      <c r="E26" s="84">
        <f>'Fluxo e Duração do Passivo'!E28</f>
        <v>15611094.279999999</v>
      </c>
      <c r="F26" s="84">
        <f>'Fluxo e Duração do Passivo'!AS28+'Fluxo e Duração do Passivo'!AZ28</f>
        <v>8266985.2400000002</v>
      </c>
      <c r="G26" s="84">
        <f>'Fluxo e Duração do Passivo'!M28</f>
        <v>873558.47</v>
      </c>
      <c r="H26" s="129">
        <f>'Fluxo e Duração do Passivo'!AO28</f>
        <v>4028044.3085683621</v>
      </c>
      <c r="I26" s="129">
        <f>'Fluxo e Duração do Passivo'!AP28</f>
        <v>0</v>
      </c>
      <c r="J26" s="129">
        <f>'Fluxo e Duração do Passivo'!BK28</f>
        <v>-1846808.08143</v>
      </c>
      <c r="K26" s="129">
        <f t="shared" si="0"/>
        <v>23830668.324045602</v>
      </c>
      <c r="L26" s="130">
        <f>'Fluxo e Duração do Passivo'!BO28</f>
        <v>0</v>
      </c>
    </row>
    <row r="27" spans="1:12">
      <c r="A27" s="125">
        <f t="shared" si="4"/>
        <v>2038</v>
      </c>
      <c r="B27" s="126">
        <f t="shared" si="4"/>
        <v>19</v>
      </c>
      <c r="C27" s="84">
        <f t="shared" si="2"/>
        <v>100126546.3512722</v>
      </c>
      <c r="D27" s="84">
        <f t="shared" si="3"/>
        <v>17167668.751367476</v>
      </c>
      <c r="E27" s="84">
        <f>'Fluxo e Duração do Passivo'!E29</f>
        <v>15973271.67</v>
      </c>
      <c r="F27" s="84">
        <f>'Fluxo e Duração do Passivo'!AS29+'Fluxo e Duração do Passivo'!AZ29</f>
        <v>8515787.1400000006</v>
      </c>
      <c r="G27" s="84">
        <f>'Fluxo e Duração do Passivo'!M29</f>
        <v>925977.16</v>
      </c>
      <c r="H27" s="129">
        <f>'Fluxo e Duração do Passivo'!AO29</f>
        <v>4068324.7516540466</v>
      </c>
      <c r="I27" s="129">
        <f>'Fluxo e Duração do Passivo'!AP29</f>
        <v>0</v>
      </c>
      <c r="J27" s="129">
        <f>'Fluxo e Duração do Passivo'!BK29</f>
        <v>-1909037.48835</v>
      </c>
      <c r="K27" s="129">
        <f t="shared" si="0"/>
        <v>24071008.151371524</v>
      </c>
      <c r="L27" s="130">
        <f>'Fluxo e Duração do Passivo'!BO29</f>
        <v>0</v>
      </c>
    </row>
    <row r="28" spans="1:12">
      <c r="A28" s="125">
        <f t="shared" si="4"/>
        <v>2039</v>
      </c>
      <c r="B28" s="126">
        <f t="shared" si="4"/>
        <v>20</v>
      </c>
      <c r="C28" s="84">
        <f t="shared" si="2"/>
        <v>105132873.6688358</v>
      </c>
      <c r="D28" s="84">
        <f t="shared" si="3"/>
        <v>17253507.095124312</v>
      </c>
      <c r="E28" s="84">
        <f>'Fluxo e Duração do Passivo'!E30</f>
        <v>16184734.939999999</v>
      </c>
      <c r="F28" s="84">
        <f>'Fluxo e Duração do Passivo'!AS30+'Fluxo e Duração do Passivo'!AZ30</f>
        <v>8423610.8300000001</v>
      </c>
      <c r="G28" s="84">
        <f>'Fluxo e Duração do Passivo'!M30</f>
        <v>971174.63</v>
      </c>
      <c r="H28" s="129">
        <f>'Fluxo e Duração do Passivo'!AO30</f>
        <v>4109007.9991705865</v>
      </c>
      <c r="I28" s="129">
        <f>'Fluxo e Duração do Passivo'!AP30</f>
        <v>0</v>
      </c>
      <c r="J28" s="129">
        <f>'Fluxo e Duração do Passivo'!BK30</f>
        <v>-1671622.6008299999</v>
      </c>
      <c r="K28" s="129">
        <f t="shared" si="0"/>
        <v>24005312.325124897</v>
      </c>
      <c r="L28" s="130">
        <f>'Fluxo e Duração do Passivo'!BO30</f>
        <v>0</v>
      </c>
    </row>
    <row r="29" spans="1:12">
      <c r="A29" s="125">
        <f t="shared" si="4"/>
        <v>2040</v>
      </c>
      <c r="B29" s="126">
        <f t="shared" si="4"/>
        <v>21</v>
      </c>
      <c r="C29" s="84">
        <f t="shared" si="2"/>
        <v>110389517.35227759</v>
      </c>
      <c r="D29" s="84">
        <f t="shared" si="3"/>
        <v>17339774.630599931</v>
      </c>
      <c r="E29" s="84">
        <f>'Fluxo e Duração do Passivo'!E31</f>
        <v>16414770.949999999</v>
      </c>
      <c r="F29" s="84">
        <f>'Fluxo e Duração do Passivo'!AS31+'Fluxo e Duração do Passivo'!AZ31</f>
        <v>8607402.0899999999</v>
      </c>
      <c r="G29" s="84">
        <f>'Fluxo e Duração do Passivo'!M31</f>
        <v>1023181.49</v>
      </c>
      <c r="H29" s="129">
        <f>'Fluxo e Duração do Passivo'!AO31</f>
        <v>4150098.0791622931</v>
      </c>
      <c r="I29" s="129">
        <f>'Fluxo e Duração do Passivo'!AP31</f>
        <v>0</v>
      </c>
      <c r="J29" s="129">
        <f>'Fluxo e Duração do Passivo'!BK31</f>
        <v>-1670324.8208399999</v>
      </c>
      <c r="K29" s="129">
        <f t="shared" si="0"/>
        <v>24183379.020602223</v>
      </c>
      <c r="L29" s="130">
        <f>'Fluxo e Duração do Passivo'!BO31</f>
        <v>0</v>
      </c>
    </row>
    <row r="30" spans="1:12">
      <c r="A30" s="125">
        <f t="shared" si="4"/>
        <v>2041</v>
      </c>
      <c r="B30" s="126">
        <f t="shared" si="4"/>
        <v>22</v>
      </c>
      <c r="C30" s="84">
        <f t="shared" si="2"/>
        <v>115908993.21989147</v>
      </c>
      <c r="D30" s="84">
        <f t="shared" si="3"/>
        <v>17426473.503752928</v>
      </c>
      <c r="E30" s="84">
        <f>'Fluxo e Duração do Passivo'!E32</f>
        <v>16615690.130000001</v>
      </c>
      <c r="F30" s="84">
        <f>'Fluxo e Duração do Passivo'!AS32+'Fluxo e Duração do Passivo'!AZ32</f>
        <v>8701159.0700000003</v>
      </c>
      <c r="G30" s="84">
        <f>'Fluxo e Duração do Passivo'!M32</f>
        <v>1079277.4099999999</v>
      </c>
      <c r="H30" s="129">
        <f>'Fluxo e Duração do Passivo'!AO32</f>
        <v>4191599.0599539154</v>
      </c>
      <c r="I30" s="129">
        <f>'Fluxo e Duração do Passivo'!AP32</f>
        <v>0</v>
      </c>
      <c r="J30" s="129">
        <f>'Fluxo e Duração do Passivo'!BK32</f>
        <v>-1578516.34005</v>
      </c>
      <c r="K30" s="129">
        <f t="shared" si="0"/>
        <v>24275866.313756846</v>
      </c>
      <c r="L30" s="130">
        <f>'Fluxo e Duração do Passivo'!BO32</f>
        <v>0</v>
      </c>
    </row>
    <row r="31" spans="1:12">
      <c r="A31" s="125">
        <f t="shared" si="4"/>
        <v>2042</v>
      </c>
      <c r="B31" s="126">
        <f t="shared" si="4"/>
        <v>23</v>
      </c>
      <c r="C31" s="84">
        <f t="shared" si="2"/>
        <v>121704442.88088605</v>
      </c>
      <c r="D31" s="84">
        <f t="shared" si="3"/>
        <v>17513605.871271692</v>
      </c>
      <c r="E31" s="84">
        <f>'Fluxo e Duração do Passivo'!E33</f>
        <v>16738142.17</v>
      </c>
      <c r="F31" s="84">
        <f>'Fluxo e Duração do Passivo'!AS33+'Fluxo e Duração do Passivo'!AZ33</f>
        <v>8436481.25</v>
      </c>
      <c r="G31" s="84">
        <f>'Fluxo e Duração do Passivo'!M33</f>
        <v>1123826.28</v>
      </c>
      <c r="H31" s="129">
        <f>'Fluxo e Duração do Passivo'!AO33</f>
        <v>4233515.0505534559</v>
      </c>
      <c r="I31" s="129">
        <f>'Fluxo e Duração do Passivo'!AP33</f>
        <v>0</v>
      </c>
      <c r="J31" s="129">
        <f>'Fluxo e Duração do Passivo'!BK33</f>
        <v>-1171048.8394500001</v>
      </c>
      <c r="K31" s="129">
        <f t="shared" si="0"/>
        <v>24041996.041275151</v>
      </c>
      <c r="L31" s="130">
        <f>'Fluxo e Duração do Passivo'!BO33</f>
        <v>0</v>
      </c>
    </row>
    <row r="32" spans="1:12">
      <c r="A32" s="125">
        <f t="shared" si="4"/>
        <v>2043</v>
      </c>
      <c r="B32" s="126">
        <f t="shared" si="4"/>
        <v>24</v>
      </c>
      <c r="C32" s="84">
        <f t="shared" si="2"/>
        <v>127789665.02493036</v>
      </c>
      <c r="D32" s="84">
        <f t="shared" si="3"/>
        <v>17601173.900628049</v>
      </c>
      <c r="E32" s="84">
        <f>'Fluxo e Duração do Passivo'!E34</f>
        <v>16812445.41</v>
      </c>
      <c r="F32" s="84">
        <f>'Fluxo e Duração do Passivo'!AS34+'Fluxo e Duração do Passivo'!AZ34</f>
        <v>8315611.0800000001</v>
      </c>
      <c r="G32" s="84">
        <f>'Fluxo e Duração do Passivo'!M34</f>
        <v>1161811.3899999999</v>
      </c>
      <c r="H32" s="129">
        <f>'Fluxo e Duração do Passivo'!AO34</f>
        <v>4275850.2010589903</v>
      </c>
      <c r="I32" s="129">
        <f>'Fluxo e Duração do Passivo'!AP34</f>
        <v>0</v>
      </c>
      <c r="J32" s="129">
        <f>'Fluxo e Duração do Passivo'!BK34</f>
        <v>-909934.39893999998</v>
      </c>
      <c r="K32" s="129">
        <f t="shared" si="0"/>
        <v>23948769.890627041</v>
      </c>
      <c r="L32" s="130">
        <f>'Fluxo e Duração do Passivo'!BO34</f>
        <v>0</v>
      </c>
    </row>
    <row r="33" spans="1:13">
      <c r="A33" s="125">
        <f t="shared" si="4"/>
        <v>2044</v>
      </c>
      <c r="B33" s="126">
        <f t="shared" si="4"/>
        <v>25</v>
      </c>
      <c r="C33" s="84">
        <f t="shared" si="2"/>
        <v>134179148.27617688</v>
      </c>
      <c r="D33" s="84">
        <f t="shared" si="3"/>
        <v>17689179.770131186</v>
      </c>
      <c r="E33" s="84">
        <f>'Fluxo e Duração do Passivo'!E35</f>
        <v>16961937.66</v>
      </c>
      <c r="F33" s="84">
        <f>'Fluxo e Duração do Passivo'!AS35+'Fluxo e Duração do Passivo'!AZ35</f>
        <v>8386495.8799999999</v>
      </c>
      <c r="G33" s="84">
        <f>'Fluxo e Duração do Passivo'!M35</f>
        <v>1209534.75</v>
      </c>
      <c r="H33" s="129">
        <f>'Fluxo e Duração do Passivo'!AO35</f>
        <v>4318608.7030695807</v>
      </c>
      <c r="I33" s="129">
        <f>'Fluxo e Duração do Passivo'!AP35</f>
        <v>0</v>
      </c>
      <c r="J33" s="129">
        <f>'Fluxo e Duração do Passivo'!BK35</f>
        <v>-840109.38693000004</v>
      </c>
      <c r="K33" s="129">
        <f t="shared" si="0"/>
        <v>24057432.610130768</v>
      </c>
      <c r="L33" s="130">
        <f>'Fluxo e Duração do Passivo'!BO35</f>
        <v>0</v>
      </c>
    </row>
    <row r="34" spans="1:13">
      <c r="A34" s="125">
        <f t="shared" si="4"/>
        <v>2045</v>
      </c>
      <c r="B34" s="126">
        <f t="shared" si="4"/>
        <v>26</v>
      </c>
      <c r="C34" s="84">
        <f t="shared" si="2"/>
        <v>140888105.68998572</v>
      </c>
      <c r="D34" s="84">
        <f t="shared" si="3"/>
        <v>17777625.668981839</v>
      </c>
      <c r="E34" s="84">
        <f>'Fluxo e Duração do Passivo'!E36</f>
        <v>17112307.920000002</v>
      </c>
      <c r="F34" s="84">
        <f>'Fluxo e Duração do Passivo'!AS36+'Fluxo e Duração do Passivo'!AZ36</f>
        <v>8289608.8100000005</v>
      </c>
      <c r="G34" s="84">
        <f>'Fluxo e Duração do Passivo'!M36</f>
        <v>1261762.45</v>
      </c>
      <c r="H34" s="129">
        <f>'Fluxo e Duração do Passivo'!AO36</f>
        <v>4361794.7901002746</v>
      </c>
      <c r="I34" s="129">
        <f>'Fluxo e Duração do Passivo'!AP36</f>
        <v>0</v>
      </c>
      <c r="J34" s="129">
        <f>'Fluxo e Duração do Passivo'!BK36</f>
        <v>-601075.84990000003</v>
      </c>
      <c r="K34" s="129">
        <f t="shared" si="0"/>
        <v>24002258.758982114</v>
      </c>
      <c r="L34" s="130">
        <f>'Fluxo e Duração do Passivo'!BO36</f>
        <v>0</v>
      </c>
    </row>
    <row r="35" spans="1:13">
      <c r="A35" s="125">
        <f t="shared" si="4"/>
        <v>2046</v>
      </c>
      <c r="B35" s="126">
        <f>B34+1</f>
        <v>27</v>
      </c>
      <c r="C35" s="84">
        <f t="shared" si="2"/>
        <v>147932510.97448501</v>
      </c>
      <c r="D35" s="84">
        <f t="shared" si="3"/>
        <v>17866513.797326747</v>
      </c>
      <c r="E35" s="84">
        <f>'Fluxo e Duração do Passivo'!E37</f>
        <v>17204229.510000002</v>
      </c>
      <c r="F35" s="84">
        <f>'Fluxo e Duração do Passivo'!AS37+'Fluxo e Duração do Passivo'!AZ37</f>
        <v>7797340.04</v>
      </c>
      <c r="G35" s="84">
        <f>'Fluxo e Duração do Passivo'!M37</f>
        <v>1309999.1499999999</v>
      </c>
      <c r="H35" s="129">
        <f>'Fluxo e Duração do Passivo'!AO37</f>
        <v>4405412.7380012777</v>
      </c>
      <c r="I35" s="129">
        <f>'Fluxo e Duração do Passivo'!AP37</f>
        <v>0</v>
      </c>
      <c r="J35" s="129">
        <f>'Fluxo e Duração do Passivo'!BK37</f>
        <v>-5338.3019999999997</v>
      </c>
      <c r="K35" s="129">
        <f t="shared" si="0"/>
        <v>23587263.987328023</v>
      </c>
      <c r="L35" s="130">
        <f>'Fluxo e Duração do Passivo'!BO37</f>
        <v>0</v>
      </c>
    </row>
    <row r="36" spans="1:13">
      <c r="A36" s="125">
        <f t="shared" si="4"/>
        <v>2047</v>
      </c>
      <c r="B36" s="126">
        <f t="shared" si="4"/>
        <v>28</v>
      </c>
      <c r="C36" s="84">
        <f t="shared" si="2"/>
        <v>155329136.52320927</v>
      </c>
      <c r="D36" s="84">
        <f t="shared" si="3"/>
        <v>17955846.366313379</v>
      </c>
      <c r="E36" s="84">
        <f>'Fluxo e Duração do Passivo'!E38</f>
        <v>17394477.149999999</v>
      </c>
      <c r="F36" s="84">
        <f>'Fluxo e Duração do Passivo'!AS38+'Fluxo e Duração do Passivo'!AZ38</f>
        <v>7544097.4500000002</v>
      </c>
      <c r="G36" s="84">
        <f>'Fluxo e Duração do Passivo'!M38</f>
        <v>1369708.28</v>
      </c>
      <c r="H36" s="129">
        <f>'Fluxo e Duração do Passivo'!AO38</f>
        <v>4449466.8653812911</v>
      </c>
      <c r="I36" s="129">
        <f>'Fluxo e Duração do Passivo'!AP38</f>
        <v>0</v>
      </c>
      <c r="J36" s="129">
        <f>'Fluxo e Duração do Passivo'!BK38</f>
        <v>385261.92537999997</v>
      </c>
      <c r="K36" s="129">
        <f t="shared" si="0"/>
        <v>23775021.51169467</v>
      </c>
      <c r="L36" s="130">
        <f>'Fluxo e Duração do Passivo'!BO38</f>
        <v>385261.92537999997</v>
      </c>
    </row>
    <row r="37" spans="1:13">
      <c r="A37" s="125">
        <f t="shared" si="4"/>
        <v>2048</v>
      </c>
      <c r="B37" s="126">
        <f t="shared" si="4"/>
        <v>29</v>
      </c>
      <c r="C37" s="84">
        <f t="shared" si="2"/>
        <v>163095593.34936973</v>
      </c>
      <c r="D37" s="84">
        <f t="shared" si="3"/>
        <v>18045625.598144945</v>
      </c>
      <c r="E37" s="84">
        <f>'Fluxo e Duração do Passivo'!E39</f>
        <v>17322914.059999999</v>
      </c>
      <c r="F37" s="84">
        <f>'Fluxo e Duração do Passivo'!AS39+'Fluxo e Duração do Passivo'!AZ39</f>
        <v>6905739.9000000004</v>
      </c>
      <c r="G37" s="84">
        <f>'Fluxo e Duração do Passivo'!M39</f>
        <v>1425421.95</v>
      </c>
      <c r="H37" s="129">
        <f>'Fluxo e Duração do Passivo'!AO39</f>
        <v>4493961.5340351053</v>
      </c>
      <c r="I37" s="129">
        <f>'Fluxo e Duração do Passivo'!AP39</f>
        <v>0</v>
      </c>
      <c r="J37" s="129">
        <f>'Fluxo e Duração do Passivo'!BK39</f>
        <v>1156087.0440400001</v>
      </c>
      <c r="K37" s="129">
        <f t="shared" si="0"/>
        <v>23965009.082180049</v>
      </c>
      <c r="L37" s="130">
        <f>'Fluxo e Duração do Passivo'!BO39</f>
        <v>1564464.6849400001</v>
      </c>
    </row>
    <row r="38" spans="1:13">
      <c r="A38" s="125">
        <f t="shared" si="4"/>
        <v>2049</v>
      </c>
      <c r="B38" s="126">
        <f t="shared" si="4"/>
        <v>30</v>
      </c>
      <c r="C38" s="84">
        <f t="shared" si="2"/>
        <v>171250373.01683822</v>
      </c>
      <c r="D38" s="84">
        <f t="shared" si="3"/>
        <v>18135853.726135667</v>
      </c>
      <c r="E38" s="84">
        <f>'Fluxo e Duração do Passivo'!E40</f>
        <v>17369184.010000002</v>
      </c>
      <c r="F38" s="84">
        <f>'Fluxo e Duração do Passivo'!AS40+'Fluxo e Duração do Passivo'!AZ40</f>
        <v>6682483.1299999999</v>
      </c>
      <c r="G38" s="84">
        <f>'Fluxo e Duração do Passivo'!M40</f>
        <v>1473409.8</v>
      </c>
      <c r="H38" s="129">
        <f>'Fluxo e Duração do Passivo'!AO40</f>
        <v>4538901.1493754545</v>
      </c>
      <c r="I38" s="129">
        <f>'Fluxo e Duração do Passivo'!AP40</f>
        <v>0</v>
      </c>
      <c r="J38" s="129">
        <f>'Fluxo e Duração do Passivo'!BK40</f>
        <v>1479321.0093799999</v>
      </c>
      <c r="K38" s="129">
        <f t="shared" si="0"/>
        <v>24148164.675511122</v>
      </c>
      <c r="L38" s="130">
        <f>'Fluxo e Duração do Passivo'!BO40</f>
        <v>3137653.5754200001</v>
      </c>
    </row>
    <row r="39" spans="1:13">
      <c r="A39" s="125">
        <f t="shared" si="4"/>
        <v>2050</v>
      </c>
      <c r="B39" s="126">
        <f t="shared" si="4"/>
        <v>31</v>
      </c>
      <c r="C39" s="84">
        <f t="shared" si="2"/>
        <v>179812891.66768014</v>
      </c>
      <c r="D39" s="84">
        <f t="shared" si="3"/>
        <v>18226532.994766343</v>
      </c>
      <c r="E39" s="84">
        <f>'Fluxo e Duração do Passivo'!E41</f>
        <v>17050601.800000001</v>
      </c>
      <c r="F39" s="84">
        <f>'Fluxo e Duração do Passivo'!AS41+'Fluxo e Duração do Passivo'!AZ41</f>
        <v>6234827.4500000002</v>
      </c>
      <c r="G39" s="84">
        <f>'Fluxo e Duração do Passivo'!M41</f>
        <v>1497136.9</v>
      </c>
      <c r="H39" s="129">
        <f>'Fluxo e Duração do Passivo'!AO41</f>
        <v>4584290.16086921</v>
      </c>
      <c r="I39" s="129">
        <f>'Fluxo e Duração do Passivo'!AP41</f>
        <v>0</v>
      </c>
      <c r="J39" s="129">
        <f>'Fluxo e Duração do Passivo'!BK41</f>
        <v>2033592.9708700001</v>
      </c>
      <c r="K39" s="129">
        <f t="shared" si="0"/>
        <v>24307960.055635553</v>
      </c>
      <c r="L39" s="130">
        <f>'Fluxo e Duração do Passivo'!BO41</f>
        <v>5359505.7608200004</v>
      </c>
    </row>
    <row r="40" spans="1:13">
      <c r="A40" s="125">
        <f t="shared" si="4"/>
        <v>2051</v>
      </c>
      <c r="B40" s="126">
        <f t="shared" si="4"/>
        <v>32</v>
      </c>
      <c r="C40" s="84">
        <f t="shared" si="2"/>
        <v>188803536.25106415</v>
      </c>
      <c r="D40" s="84">
        <f t="shared" si="3"/>
        <v>18317665.659740172</v>
      </c>
      <c r="E40" s="84">
        <f>'Fluxo e Duração do Passivo'!E42</f>
        <v>17021708.890000001</v>
      </c>
      <c r="F40" s="84">
        <f>'Fluxo e Duração do Passivo'!AS42+'Fluxo e Duração do Passivo'!AZ42</f>
        <v>6058825.9300000006</v>
      </c>
      <c r="G40" s="84">
        <f>'Fluxo e Duração do Passivo'!M42</f>
        <v>1546362.96</v>
      </c>
      <c r="H40" s="129">
        <f>'Fluxo e Duração do Passivo'!AO42</f>
        <v>4630133.0624779025</v>
      </c>
      <c r="I40" s="129">
        <f>'Fluxo e Duração do Passivo'!AP42</f>
        <v>0</v>
      </c>
      <c r="J40" s="129">
        <f>'Fluxo e Duração do Passivo'!BK42</f>
        <v>2279682.18248</v>
      </c>
      <c r="K40" s="129">
        <f t="shared" si="0"/>
        <v>24494161.682218075</v>
      </c>
      <c r="L40" s="130">
        <f>'Fluxo e Duração do Passivo'!BO42</f>
        <v>7960758.28895</v>
      </c>
    </row>
    <row r="41" spans="1:13">
      <c r="A41" s="125">
        <f t="shared" si="4"/>
        <v>2052</v>
      </c>
      <c r="B41" s="126">
        <f t="shared" si="4"/>
        <v>33</v>
      </c>
      <c r="C41" s="84">
        <f t="shared" si="2"/>
        <v>198243713.06361738</v>
      </c>
      <c r="D41" s="84">
        <f t="shared" si="3"/>
        <v>18409253.988038871</v>
      </c>
      <c r="E41" s="84">
        <f>'Fluxo e Duração do Passivo'!E43</f>
        <v>16818421.309999999</v>
      </c>
      <c r="F41" s="84">
        <f>'Fluxo e Duração do Passivo'!AS43+'Fluxo e Duração do Passivo'!AZ43</f>
        <v>5851481.2599999998</v>
      </c>
      <c r="G41" s="84">
        <f>'Fluxo e Duração do Passivo'!M43</f>
        <v>1580118.99</v>
      </c>
      <c r="H41" s="129">
        <f>'Fluxo e Duração do Passivo'!AO43</f>
        <v>4676434.3931026813</v>
      </c>
      <c r="I41" s="129">
        <f>'Fluxo e Duração do Passivo'!AP43</f>
        <v>0</v>
      </c>
      <c r="J41" s="129">
        <f>'Fluxo e Duração do Passivo'!BK43</f>
        <v>2594216.0430999999</v>
      </c>
      <c r="K41" s="129">
        <f t="shared" si="0"/>
        <v>24665807.371141553</v>
      </c>
      <c r="L41" s="130">
        <f>'Fluxo e Duração do Passivo'!BO43</f>
        <v>11032619.829390001</v>
      </c>
    </row>
    <row r="42" spans="1:13">
      <c r="A42" s="125">
        <f>A41+1</f>
        <v>2053</v>
      </c>
      <c r="B42" s="126">
        <f>B41+1</f>
        <v>34</v>
      </c>
      <c r="C42" s="84">
        <f t="shared" si="2"/>
        <v>208155898.71679825</v>
      </c>
      <c r="D42" s="84">
        <f t="shared" si="3"/>
        <v>18501300.257979065</v>
      </c>
      <c r="E42" s="84">
        <f>'Fluxo e Duração do Passivo'!E44</f>
        <v>15932902.630000001</v>
      </c>
      <c r="F42" s="84">
        <f>'Fluxo e Duração do Passivo'!AS44+'Fluxo e Duração do Passivo'!AZ44</f>
        <v>5027927.5799999991</v>
      </c>
      <c r="G42" s="84">
        <f>'Fluxo e Duração do Passivo'!M44</f>
        <v>1537009.42</v>
      </c>
      <c r="H42" s="129">
        <f>'Fluxo e Duração do Passivo'!AO44</f>
        <v>4723198.7370337071</v>
      </c>
      <c r="I42" s="129">
        <f>'Fluxo e Duração do Passivo'!AP44</f>
        <v>0</v>
      </c>
      <c r="J42" s="129">
        <f>'Fluxo e Duração do Passivo'!BK44</f>
        <v>3387287.0570299998</v>
      </c>
      <c r="K42" s="129">
        <f t="shared" si="0"/>
        <v>24761508.415012773</v>
      </c>
      <c r="L42" s="130">
        <f>'Fluxo e Duração do Passivo'!BO44</f>
        <v>15081864.07618</v>
      </c>
    </row>
    <row r="43" spans="1:13" ht="13.5" thickBot="1">
      <c r="A43" s="127">
        <f>A42+1</f>
        <v>2054</v>
      </c>
      <c r="B43" s="128">
        <f>B42+1</f>
        <v>35</v>
      </c>
      <c r="C43" s="84">
        <f t="shared" si="2"/>
        <v>218563693.65263817</v>
      </c>
      <c r="D43" s="84">
        <f t="shared" si="3"/>
        <v>18593806.759268958</v>
      </c>
      <c r="E43" s="84">
        <f>'Fluxo e Duração do Passivo'!E45</f>
        <v>15775925.32</v>
      </c>
      <c r="F43" s="84">
        <f>'Fluxo e Duração do Passivo'!AS45+'Fluxo e Duração do Passivo'!AZ45</f>
        <v>4851482.09</v>
      </c>
      <c r="G43" s="84">
        <f>'Fluxo e Duração do Passivo'!M45</f>
        <v>1568749.73</v>
      </c>
      <c r="H43" s="129">
        <f>'Fluxo e Duração do Passivo'!AO45</f>
        <v>0</v>
      </c>
      <c r="I43" s="129">
        <f>'Fluxo e Duração do Passivo'!AP45</f>
        <v>0</v>
      </c>
      <c r="J43" s="129">
        <f>'Fluxo e Duração do Passivo'!BK45</f>
        <v>-1203377.6599999999</v>
      </c>
      <c r="K43" s="129">
        <f t="shared" si="0"/>
        <v>21365934.149268959</v>
      </c>
      <c r="L43" s="130">
        <f>'Fluxo e Duração do Passivo'!BO45</f>
        <v>14783398.260749999</v>
      </c>
    </row>
    <row r="44" spans="1:13" s="73" customFormat="1">
      <c r="M44" s="80"/>
    </row>
    <row r="45" spans="1:13" s="73" customFormat="1">
      <c r="M45" s="80"/>
    </row>
    <row r="46" spans="1:13" s="73" customFormat="1" hidden="1">
      <c r="M46" s="80"/>
    </row>
    <row r="47" spans="1:13" s="73" customFormat="1" hidden="1">
      <c r="M47" s="80"/>
    </row>
    <row r="48" spans="1:13" s="73" customFormat="1" hidden="1">
      <c r="M48" s="80"/>
    </row>
    <row r="49" spans="13:13" s="73" customFormat="1" hidden="1">
      <c r="M49" s="80"/>
    </row>
    <row r="50" spans="13:13" s="73" customFormat="1" hidden="1">
      <c r="M50" s="80"/>
    </row>
    <row r="51" spans="13:13" s="73" customFormat="1" hidden="1">
      <c r="M51" s="80"/>
    </row>
    <row r="52" spans="13:13" s="73" customFormat="1" hidden="1">
      <c r="M52" s="80"/>
    </row>
    <row r="53" spans="13:13" s="73" customFormat="1" hidden="1">
      <c r="M53" s="80"/>
    </row>
    <row r="54" spans="13:13" s="73" customFormat="1" hidden="1">
      <c r="M54" s="80"/>
    </row>
    <row r="55" spans="13:13" s="73" customFormat="1" hidden="1">
      <c r="M55" s="80"/>
    </row>
    <row r="56" spans="13:13" s="73" customFormat="1" hidden="1">
      <c r="M56" s="80"/>
    </row>
    <row r="57" spans="13:13" s="73" customFormat="1" hidden="1">
      <c r="M57" s="80"/>
    </row>
    <row r="58" spans="13:13" s="73" customFormat="1" hidden="1">
      <c r="M58" s="80"/>
    </row>
    <row r="59" spans="13:13" s="73" customFormat="1" hidden="1">
      <c r="M59" s="80"/>
    </row>
    <row r="60" spans="13:13" s="73" customFormat="1" hidden="1">
      <c r="M60" s="80"/>
    </row>
    <row r="61" spans="13:13" s="73" customFormat="1" hidden="1">
      <c r="M61" s="80"/>
    </row>
    <row r="62" spans="13:13" s="73" customFormat="1" hidden="1">
      <c r="M62" s="80"/>
    </row>
    <row r="63" spans="13:13" s="73" customFormat="1" hidden="1">
      <c r="M63" s="80"/>
    </row>
    <row r="64" spans="13:13" s="73" customFormat="1" hidden="1">
      <c r="M64" s="80"/>
    </row>
    <row r="65" spans="13:13" s="73" customFormat="1" hidden="1">
      <c r="M65" s="80"/>
    </row>
    <row r="66" spans="13:13" s="73" customFormat="1" hidden="1">
      <c r="M66" s="80"/>
    </row>
    <row r="67" spans="13:13" s="73" customFormat="1" hidden="1">
      <c r="M67" s="80"/>
    </row>
    <row r="68" spans="13:13" s="73" customFormat="1" hidden="1">
      <c r="M68" s="80"/>
    </row>
    <row r="69" spans="13:13" hidden="1"/>
    <row r="70" spans="13:13" hidden="1"/>
    <row r="71" spans="13:13" hidden="1"/>
    <row r="72" spans="13:13" hidden="1"/>
    <row r="73" spans="13:13" hidden="1"/>
    <row r="74" spans="13:13" hidden="1"/>
    <row r="75" spans="13:13" hidden="1"/>
    <row r="76" spans="13:13" hidden="1"/>
    <row r="77" spans="13:13" hidden="1"/>
    <row r="78" spans="13:13" hidden="1"/>
    <row r="79" spans="13:13" hidden="1"/>
    <row r="80" spans="13:13" hidden="1"/>
    <row r="81" spans="3:13" s="74" customFormat="1" hidden="1">
      <c r="C81" s="55"/>
      <c r="M81" s="80"/>
    </row>
  </sheetData>
  <mergeCells count="1">
    <mergeCell ref="A5:F5"/>
  </mergeCells>
  <printOptions horizontalCentered="1"/>
  <pageMargins left="0.23622047244094491" right="0.31496062992125984" top="0.78740157480314965" bottom="0.78740157480314965" header="0.51181102362204722" footer="0.51181102362204722"/>
  <pageSetup paperSize="9" scale="51" fitToHeight="2" orientation="landscape" verticalDpi="300" r:id="rId1"/>
  <headerFooter alignWithMargins="0">
    <oddFooter>&amp;RPágina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zoomScaleNormal="100" workbookViewId="0">
      <pane ySplit="8" topLeftCell="A27" activePane="bottomLeft" state="frozen"/>
      <selection pane="bottomLeft" activeCell="E36" sqref="E36"/>
    </sheetView>
  </sheetViews>
  <sheetFormatPr defaultColWidth="0" defaultRowHeight="16.5" zeroHeight="1"/>
  <cols>
    <col min="1" max="1" width="7" style="45" customWidth="1"/>
    <col min="2" max="2" width="7.42578125" style="45" customWidth="1"/>
    <col min="3" max="4" width="21.140625" style="45" customWidth="1"/>
    <col min="5" max="5" width="20.5703125" style="45" customWidth="1"/>
    <col min="6" max="6" width="19" style="45" customWidth="1"/>
    <col min="7" max="9" width="0" style="45" hidden="1" customWidth="1"/>
    <col min="10" max="16384" width="19" style="45" hidden="1"/>
  </cols>
  <sheetData>
    <row r="1" spans="1:9" s="142" customFormat="1" ht="15.75">
      <c r="A1" s="154" t="s">
        <v>132</v>
      </c>
      <c r="B1" s="154"/>
      <c r="C1" s="141"/>
      <c r="D1" s="141"/>
      <c r="E1" s="141"/>
    </row>
    <row r="2" spans="1:9" s="142" customFormat="1">
      <c r="A2" s="155"/>
      <c r="B2" s="155"/>
      <c r="C2" s="45"/>
      <c r="D2" s="45"/>
    </row>
    <row r="3" spans="1:9" s="143" customFormat="1" ht="17.25" thickBot="1">
      <c r="A3" s="232" t="s">
        <v>118</v>
      </c>
      <c r="B3" s="233"/>
      <c r="E3" s="46"/>
    </row>
    <row r="4" spans="1:9" s="145" customFormat="1" ht="26.25" customHeight="1">
      <c r="A4" s="230" t="s">
        <v>104</v>
      </c>
      <c r="B4" s="231"/>
      <c r="C4" s="144"/>
      <c r="E4" s="146"/>
      <c r="F4" s="47"/>
      <c r="G4" s="47"/>
      <c r="I4" s="47"/>
    </row>
    <row r="5" spans="1:9" s="145" customFormat="1" ht="12.75">
      <c r="A5" s="167" t="s">
        <v>105</v>
      </c>
      <c r="B5" s="165"/>
      <c r="C5" s="147"/>
      <c r="E5" s="146"/>
      <c r="F5" s="47"/>
      <c r="G5" s="47"/>
      <c r="I5" s="47"/>
    </row>
    <row r="6" spans="1:9" s="145" customFormat="1" ht="12.75">
      <c r="A6" s="168" t="s">
        <v>106</v>
      </c>
      <c r="B6" s="166"/>
      <c r="C6" s="148"/>
      <c r="E6" s="146"/>
      <c r="F6" s="47"/>
      <c r="G6" s="47"/>
      <c r="I6" s="47"/>
    </row>
    <row r="7" spans="1:9" ht="17.25" thickBot="1"/>
    <row r="8" spans="1:9" s="48" customFormat="1" ht="66.75" thickBot="1">
      <c r="A8" s="149" t="s">
        <v>112</v>
      </c>
      <c r="B8" s="150" t="s">
        <v>120</v>
      </c>
      <c r="C8" s="151" t="s">
        <v>128</v>
      </c>
      <c r="D8" s="152" t="s">
        <v>129</v>
      </c>
      <c r="E8" s="153" t="s">
        <v>130</v>
      </c>
    </row>
    <row r="9" spans="1:9">
      <c r="A9" s="137">
        <f>'01- Histórico'!A28</f>
        <v>2019</v>
      </c>
      <c r="B9" s="138">
        <v>0</v>
      </c>
      <c r="C9" s="139">
        <f>'02 - Projeções'!K8/'02 - Projeções'!C8</f>
        <v>0.46997067372243551</v>
      </c>
      <c r="D9" s="139">
        <f>C9/(0.54*0.95)-1</f>
        <v>-8.3877829001100412E-2</v>
      </c>
      <c r="E9" s="140"/>
    </row>
    <row r="10" spans="1:9">
      <c r="A10" s="49">
        <f>A9+1</f>
        <v>2020</v>
      </c>
      <c r="B10" s="131">
        <f>B9+1</f>
        <v>1</v>
      </c>
      <c r="C10" s="132">
        <f>'02 - Projeções'!K9/'02 - Projeções'!C9</f>
        <v>0.46680709106154455</v>
      </c>
      <c r="D10" s="132">
        <f t="shared" ref="D10:D44" si="0">C10/(0.54*0.95)-1</f>
        <v>-9.0044656800108092E-2</v>
      </c>
      <c r="E10" s="50">
        <f>('02 - Projeções'!L9-'02 - Projeções'!L8)/'02 - Projeções'!L8</f>
        <v>0.57215877267619808</v>
      </c>
    </row>
    <row r="11" spans="1:9">
      <c r="A11" s="49">
        <f t="shared" ref="A11:B26" si="1">A10+1</f>
        <v>2021</v>
      </c>
      <c r="B11" s="131">
        <f t="shared" si="1"/>
        <v>2</v>
      </c>
      <c r="C11" s="132">
        <f>'02 - Projeções'!K10/'02 - Projeções'!C10</f>
        <v>0.44768054919423933</v>
      </c>
      <c r="D11" s="132">
        <f t="shared" si="0"/>
        <v>-0.12732836414378301</v>
      </c>
      <c r="E11" s="50">
        <f>('02 - Projeções'!L10-'02 - Projeções'!L9)/'02 - Projeções'!L9</f>
        <v>5.2500563057178498E-2</v>
      </c>
    </row>
    <row r="12" spans="1:9">
      <c r="A12" s="49">
        <f t="shared" si="1"/>
        <v>2022</v>
      </c>
      <c r="B12" s="131">
        <f t="shared" si="1"/>
        <v>3</v>
      </c>
      <c r="C12" s="132">
        <f>'02 - Projeções'!K11/'02 - Projeções'!C11</f>
        <v>0.43280763548059226</v>
      </c>
      <c r="D12" s="132">
        <f t="shared" si="0"/>
        <v>-0.15632039867330949</v>
      </c>
      <c r="E12" s="50">
        <f>('02 - Projeções'!L11-'02 - Projeções'!L10)/'02 - Projeções'!L10</f>
        <v>-0.28079372254799656</v>
      </c>
    </row>
    <row r="13" spans="1:9">
      <c r="A13" s="49">
        <f t="shared" si="1"/>
        <v>2023</v>
      </c>
      <c r="B13" s="131">
        <f t="shared" si="1"/>
        <v>4</v>
      </c>
      <c r="C13" s="132">
        <f>'02 - Projeções'!K12/'02 - Projeções'!C12</f>
        <v>0.41806591025707246</v>
      </c>
      <c r="D13" s="132">
        <f t="shared" si="0"/>
        <v>-0.18505670515190553</v>
      </c>
      <c r="E13" s="50">
        <f>('02 - Projeções'!L12-'02 - Projeções'!L11)/'02 - Projeções'!L11</f>
        <v>-0.83475191146066952</v>
      </c>
    </row>
    <row r="14" spans="1:9">
      <c r="A14" s="49">
        <f t="shared" si="1"/>
        <v>2024</v>
      </c>
      <c r="B14" s="131">
        <f t="shared" si="1"/>
        <v>5</v>
      </c>
      <c r="C14" s="132">
        <f>'02 - Projeções'!K13/'02 - Projeções'!C13</f>
        <v>0.40494675011188891</v>
      </c>
      <c r="D14" s="132">
        <f t="shared" si="0"/>
        <v>-0.21063011674095733</v>
      </c>
      <c r="E14" s="50">
        <f>('02 - Projeções'!L13-'02 - Projeções'!L12)/'02 - Projeções'!L12</f>
        <v>-1</v>
      </c>
    </row>
    <row r="15" spans="1:9">
      <c r="A15" s="49">
        <f t="shared" si="1"/>
        <v>2025</v>
      </c>
      <c r="B15" s="131">
        <f t="shared" si="1"/>
        <v>6</v>
      </c>
      <c r="C15" s="132">
        <f>'02 - Projeções'!K14/'02 - Projeções'!C14</f>
        <v>0.39217925231654738</v>
      </c>
      <c r="D15" s="132">
        <f t="shared" si="0"/>
        <v>-0.23551802667339694</v>
      </c>
      <c r="E15" s="50" t="e">
        <f>('02 - Projeções'!L14-'02 - Projeções'!L13)/'02 - Projeções'!L13</f>
        <v>#DIV/0!</v>
      </c>
    </row>
    <row r="16" spans="1:9">
      <c r="A16" s="49">
        <f t="shared" si="1"/>
        <v>2026</v>
      </c>
      <c r="B16" s="131">
        <f t="shared" si="1"/>
        <v>7</v>
      </c>
      <c r="C16" s="132">
        <f>'02 - Projeções'!K15/'02 - Projeções'!C15</f>
        <v>0.3793816521073034</v>
      </c>
      <c r="D16" s="132">
        <f t="shared" si="0"/>
        <v>-0.26046461577523705</v>
      </c>
      <c r="E16" s="50" t="e">
        <f>('02 - Projeções'!L15-'02 - Projeções'!L14)/'02 - Projeções'!L14</f>
        <v>#DIV/0!</v>
      </c>
    </row>
    <row r="17" spans="1:5">
      <c r="A17" s="49">
        <f t="shared" si="1"/>
        <v>2027</v>
      </c>
      <c r="B17" s="131">
        <f t="shared" si="1"/>
        <v>8</v>
      </c>
      <c r="C17" s="132">
        <f>'02 - Projeções'!K16/'02 - Projeções'!C16</f>
        <v>0.36776636278250441</v>
      </c>
      <c r="D17" s="132">
        <f t="shared" si="0"/>
        <v>-0.28310650529726233</v>
      </c>
      <c r="E17" s="50" t="e">
        <f>('02 - Projeções'!L16-'02 - Projeções'!L15)/'02 - Projeções'!L15</f>
        <v>#DIV/0!</v>
      </c>
    </row>
    <row r="18" spans="1:5">
      <c r="A18" s="49">
        <f t="shared" si="1"/>
        <v>2028</v>
      </c>
      <c r="B18" s="131">
        <f t="shared" si="1"/>
        <v>9</v>
      </c>
      <c r="C18" s="132">
        <f>'02 - Projeções'!K17/'02 - Projeções'!C17</f>
        <v>0.35624587619832149</v>
      </c>
      <c r="D18" s="132">
        <f t="shared" si="0"/>
        <v>-0.30556359415531875</v>
      </c>
      <c r="E18" s="50" t="e">
        <f>('02 - Projeções'!L17-'02 - Projeções'!L16)/'02 - Projeções'!L16</f>
        <v>#DIV/0!</v>
      </c>
    </row>
    <row r="19" spans="1:5">
      <c r="A19" s="49">
        <f t="shared" si="1"/>
        <v>2029</v>
      </c>
      <c r="B19" s="131">
        <f t="shared" si="1"/>
        <v>10</v>
      </c>
      <c r="C19" s="132">
        <f>'02 - Projeções'!K18/'02 - Projeções'!C18</f>
        <v>0.34217188538107873</v>
      </c>
      <c r="D19" s="132">
        <f t="shared" si="0"/>
        <v>-0.33299827411095761</v>
      </c>
      <c r="E19" s="50" t="e">
        <f>('02 - Projeções'!L18-'02 - Projeções'!L17)/'02 - Projeções'!L17</f>
        <v>#DIV/0!</v>
      </c>
    </row>
    <row r="20" spans="1:5">
      <c r="A20" s="49">
        <f t="shared" si="1"/>
        <v>2030</v>
      </c>
      <c r="B20" s="131">
        <f t="shared" si="1"/>
        <v>11</v>
      </c>
      <c r="C20" s="132">
        <f>'02 - Projeções'!K19/'02 - Projeções'!C19</f>
        <v>0.32971923612540094</v>
      </c>
      <c r="D20" s="132">
        <f t="shared" si="0"/>
        <v>-0.35727244419999815</v>
      </c>
      <c r="E20" s="50" t="e">
        <f>('02 - Projeções'!L19-'02 - Projeções'!L18)/'02 - Projeções'!L18</f>
        <v>#DIV/0!</v>
      </c>
    </row>
    <row r="21" spans="1:5">
      <c r="A21" s="49">
        <f t="shared" si="1"/>
        <v>2031</v>
      </c>
      <c r="B21" s="131">
        <f t="shared" si="1"/>
        <v>12</v>
      </c>
      <c r="C21" s="132">
        <f>'02 - Projeções'!K20/'02 - Projeções'!C20</f>
        <v>0.31881818046062699</v>
      </c>
      <c r="D21" s="132">
        <f t="shared" si="0"/>
        <v>-0.37852206537889477</v>
      </c>
      <c r="E21" s="50" t="e">
        <f>('02 - Projeções'!L20-'02 - Projeções'!L19)/'02 - Projeções'!L19</f>
        <v>#DIV/0!</v>
      </c>
    </row>
    <row r="22" spans="1:5">
      <c r="A22" s="49">
        <f t="shared" si="1"/>
        <v>2032</v>
      </c>
      <c r="B22" s="131">
        <f t="shared" si="1"/>
        <v>13</v>
      </c>
      <c r="C22" s="132">
        <f>'02 - Projeções'!K21/'02 - Projeções'!C21</f>
        <v>0.30515378837234725</v>
      </c>
      <c r="D22" s="132">
        <f t="shared" si="0"/>
        <v>-0.40515830726637969</v>
      </c>
      <c r="E22" s="50" t="e">
        <f>('02 - Projeções'!L21-'02 - Projeções'!L20)/'02 - Projeções'!L20</f>
        <v>#DIV/0!</v>
      </c>
    </row>
    <row r="23" spans="1:5">
      <c r="A23" s="49">
        <f t="shared" si="1"/>
        <v>2033</v>
      </c>
      <c r="B23" s="131">
        <f t="shared" si="1"/>
        <v>14</v>
      </c>
      <c r="C23" s="132">
        <f>'02 - Projeções'!K22/'02 - Projeções'!C22</f>
        <v>0.29451263370527564</v>
      </c>
      <c r="D23" s="132">
        <f t="shared" si="0"/>
        <v>-0.42590129882012551</v>
      </c>
      <c r="E23" s="50" t="e">
        <f>('02 - Projeções'!L22-'02 - Projeções'!L21)/'02 - Projeções'!L21</f>
        <v>#DIV/0!</v>
      </c>
    </row>
    <row r="24" spans="1:5">
      <c r="A24" s="49">
        <f t="shared" si="1"/>
        <v>2034</v>
      </c>
      <c r="B24" s="131">
        <f t="shared" si="1"/>
        <v>15</v>
      </c>
      <c r="C24" s="132">
        <f>'02 - Projeções'!K23/'02 - Projeções'!C23</f>
        <v>0.28376265689059527</v>
      </c>
      <c r="D24" s="132">
        <f t="shared" si="0"/>
        <v>-0.44685641931657849</v>
      </c>
      <c r="E24" s="50" t="e">
        <f>('02 - Projeções'!L23-'02 - Projeções'!L22)/'02 - Projeções'!L22</f>
        <v>#DIV/0!</v>
      </c>
    </row>
    <row r="25" spans="1:5">
      <c r="A25" s="49">
        <f t="shared" si="1"/>
        <v>2035</v>
      </c>
      <c r="B25" s="131">
        <f t="shared" si="1"/>
        <v>16</v>
      </c>
      <c r="C25" s="132">
        <f>'02 - Projeções'!K24/'02 - Projeções'!C24</f>
        <v>0.27327177586395307</v>
      </c>
      <c r="D25" s="132">
        <f t="shared" si="0"/>
        <v>-0.4673064797973624</v>
      </c>
      <c r="E25" s="50" t="e">
        <f>('02 - Projeções'!L24-'02 - Projeções'!L23)/'02 - Projeções'!L23</f>
        <v>#DIV/0!</v>
      </c>
    </row>
    <row r="26" spans="1:5">
      <c r="A26" s="49">
        <f t="shared" si="1"/>
        <v>2036</v>
      </c>
      <c r="B26" s="131">
        <f t="shared" si="1"/>
        <v>17</v>
      </c>
      <c r="C26" s="132">
        <f>'02 - Projeções'!K25/'02 - Projeções'!C25</f>
        <v>0.26269487048969004</v>
      </c>
      <c r="D26" s="132">
        <f t="shared" si="0"/>
        <v>-0.48792422906493171</v>
      </c>
      <c r="E26" s="50" t="e">
        <f>('02 - Projeções'!L25-'02 - Projeções'!L24)/'02 - Projeções'!L24</f>
        <v>#DIV/0!</v>
      </c>
    </row>
    <row r="27" spans="1:5">
      <c r="A27" s="49">
        <f t="shared" ref="A27:B42" si="2">A26+1</f>
        <v>2037</v>
      </c>
      <c r="B27" s="131">
        <f t="shared" si="2"/>
        <v>18</v>
      </c>
      <c r="C27" s="132">
        <f>'02 - Projeções'!K26/'02 - Projeções'!C26</f>
        <v>0.24990577076795334</v>
      </c>
      <c r="D27" s="132">
        <f t="shared" si="0"/>
        <v>-0.51285424801568547</v>
      </c>
      <c r="E27" s="50" t="e">
        <f>('02 - Projeções'!L26-'02 - Projeções'!L25)/'02 - Projeções'!L25</f>
        <v>#DIV/0!</v>
      </c>
    </row>
    <row r="28" spans="1:5">
      <c r="A28" s="49">
        <f t="shared" si="2"/>
        <v>2038</v>
      </c>
      <c r="B28" s="131">
        <f t="shared" si="2"/>
        <v>19</v>
      </c>
      <c r="C28" s="132">
        <f>'02 - Projeções'!K27/'02 - Projeções'!C27</f>
        <v>0.24040585667384981</v>
      </c>
      <c r="D28" s="132">
        <f t="shared" si="0"/>
        <v>-0.53137259907631618</v>
      </c>
      <c r="E28" s="50" t="e">
        <f>('02 - Projeções'!L27-'02 - Projeções'!L26)/'02 - Projeções'!L26</f>
        <v>#DIV/0!</v>
      </c>
    </row>
    <row r="29" spans="1:5">
      <c r="A29" s="49">
        <f t="shared" si="2"/>
        <v>2039</v>
      </c>
      <c r="B29" s="131">
        <f t="shared" si="2"/>
        <v>20</v>
      </c>
      <c r="C29" s="132">
        <f>'02 - Projeções'!K28/'02 - Projeções'!C28</f>
        <v>0.22833307496892585</v>
      </c>
      <c r="D29" s="132">
        <f t="shared" si="0"/>
        <v>-0.55490628661028096</v>
      </c>
      <c r="E29" s="50" t="e">
        <f>('02 - Projeções'!L28-'02 - Projeções'!L27)/'02 - Projeções'!L27</f>
        <v>#DIV/0!</v>
      </c>
    </row>
    <row r="30" spans="1:5">
      <c r="A30" s="49">
        <f t="shared" si="2"/>
        <v>2040</v>
      </c>
      <c r="B30" s="131">
        <f t="shared" si="2"/>
        <v>21</v>
      </c>
      <c r="C30" s="132">
        <f>'02 - Projeções'!K29/'02 - Projeções'!C29</f>
        <v>0.21907314752928633</v>
      </c>
      <c r="D30" s="132">
        <f t="shared" si="0"/>
        <v>-0.57295682742829168</v>
      </c>
      <c r="E30" s="50" t="e">
        <f>('02 - Projeções'!L29-'02 - Projeções'!L28)/'02 - Projeções'!L28</f>
        <v>#DIV/0!</v>
      </c>
    </row>
    <row r="31" spans="1:5">
      <c r="A31" s="49">
        <f t="shared" si="2"/>
        <v>2041</v>
      </c>
      <c r="B31" s="131">
        <f t="shared" si="2"/>
        <v>22</v>
      </c>
      <c r="C31" s="132">
        <f>'02 - Projeções'!K30/'02 - Projeções'!C30</f>
        <v>0.20943902314553789</v>
      </c>
      <c r="D31" s="132">
        <f t="shared" si="0"/>
        <v>-0.59173679698725556</v>
      </c>
      <c r="E31" s="50" t="e">
        <f>('02 - Projeções'!L30-'02 - Projeções'!L29)/'02 - Projeções'!L29</f>
        <v>#DIV/0!</v>
      </c>
    </row>
    <row r="32" spans="1:5">
      <c r="A32" s="49">
        <f t="shared" si="2"/>
        <v>2042</v>
      </c>
      <c r="B32" s="131">
        <f t="shared" si="2"/>
        <v>23</v>
      </c>
      <c r="C32" s="132">
        <f>'02 - Projeções'!K31/'02 - Projeções'!C31</f>
        <v>0.19754411155561027</v>
      </c>
      <c r="D32" s="132">
        <f t="shared" si="0"/>
        <v>-0.61492375915085717</v>
      </c>
      <c r="E32" s="50" t="e">
        <f>('02 - Projeções'!L31-'02 - Projeções'!L30)/'02 - Projeções'!L30</f>
        <v>#DIV/0!</v>
      </c>
    </row>
    <row r="33" spans="1:5">
      <c r="A33" s="49">
        <f t="shared" si="2"/>
        <v>2043</v>
      </c>
      <c r="B33" s="131">
        <f t="shared" si="2"/>
        <v>24</v>
      </c>
      <c r="C33" s="132">
        <f>'02 - Projeções'!K32/'02 - Projeções'!C32</f>
        <v>0.18740772100744532</v>
      </c>
      <c r="D33" s="132">
        <f t="shared" si="0"/>
        <v>-0.63468280505371277</v>
      </c>
      <c r="E33" s="50" t="e">
        <f>('02 - Projeções'!L32-'02 - Projeções'!L31)/'02 - Projeções'!L31</f>
        <v>#DIV/0!</v>
      </c>
    </row>
    <row r="34" spans="1:5">
      <c r="A34" s="49">
        <f t="shared" si="2"/>
        <v>2044</v>
      </c>
      <c r="B34" s="131">
        <f t="shared" si="2"/>
        <v>25</v>
      </c>
      <c r="C34" s="132">
        <f>'02 - Projeções'!K33/'02 - Projeções'!C33</f>
        <v>0.17929337694567923</v>
      </c>
      <c r="D34" s="132">
        <f t="shared" si="0"/>
        <v>-0.65050023987197036</v>
      </c>
      <c r="E34" s="50" t="e">
        <f>('02 - Projeções'!L33-'02 - Projeções'!L32)/'02 - Projeções'!L32</f>
        <v>#DIV/0!</v>
      </c>
    </row>
    <row r="35" spans="1:5">
      <c r="A35" s="49">
        <f t="shared" si="2"/>
        <v>2045</v>
      </c>
      <c r="B35" s="131">
        <f t="shared" si="2"/>
        <v>26</v>
      </c>
      <c r="C35" s="132">
        <f>'02 - Projeções'!K34/'02 - Projeções'!C34</f>
        <v>0.1703639824059909</v>
      </c>
      <c r="D35" s="132">
        <f t="shared" si="0"/>
        <v>-0.66790646704485201</v>
      </c>
      <c r="E35" s="50" t="e">
        <f>('02 - Projeções'!L34-'02 - Projeções'!L33)/'02 - Projeções'!L33</f>
        <v>#DIV/0!</v>
      </c>
    </row>
    <row r="36" spans="1:5">
      <c r="A36" s="49">
        <f t="shared" si="2"/>
        <v>2046</v>
      </c>
      <c r="B36" s="131">
        <f>B35+1</f>
        <v>27</v>
      </c>
      <c r="C36" s="132">
        <f>'02 - Projeções'!K35/'02 - Projeções'!C35</f>
        <v>0.15944611385252758</v>
      </c>
      <c r="D36" s="132">
        <f t="shared" si="0"/>
        <v>-0.68918886188591122</v>
      </c>
      <c r="E36" s="50" t="e">
        <f>('02 - Projeções'!L35-'02 - Projeções'!L34)/'02 - Projeções'!L34</f>
        <v>#DIV/0!</v>
      </c>
    </row>
    <row r="37" spans="1:5">
      <c r="A37" s="49">
        <f t="shared" si="2"/>
        <v>2047</v>
      </c>
      <c r="B37" s="131">
        <f t="shared" si="2"/>
        <v>28</v>
      </c>
      <c r="C37" s="132">
        <f>'02 - Projeções'!K36/'02 - Projeções'!C36</f>
        <v>0.15306221385027918</v>
      </c>
      <c r="D37" s="132">
        <f t="shared" si="0"/>
        <v>-0.70163311140296458</v>
      </c>
      <c r="E37" s="50" t="e">
        <f>('02 - Projeções'!L36-'02 - Projeções'!L35)/'02 - Projeções'!L35</f>
        <v>#DIV/0!</v>
      </c>
    </row>
    <row r="38" spans="1:5">
      <c r="A38" s="49">
        <f t="shared" si="2"/>
        <v>2048</v>
      </c>
      <c r="B38" s="131">
        <f t="shared" si="2"/>
        <v>29</v>
      </c>
      <c r="C38" s="132">
        <f>'02 - Projeções'!K37/'02 - Projeções'!C37</f>
        <v>0.14693842175640032</v>
      </c>
      <c r="D38" s="132">
        <f t="shared" si="0"/>
        <v>-0.71357032796023323</v>
      </c>
      <c r="E38" s="50">
        <f>('02 - Projeções'!L37-'02 - Projeções'!L36)/'02 - Projeções'!L36</f>
        <v>3.0607819820162687</v>
      </c>
    </row>
    <row r="39" spans="1:5">
      <c r="A39" s="49">
        <f t="shared" si="2"/>
        <v>2049</v>
      </c>
      <c r="B39" s="131">
        <f t="shared" si="2"/>
        <v>30</v>
      </c>
      <c r="C39" s="132">
        <f>'02 - Projeções'!K38/'02 - Projeções'!C38</f>
        <v>0.14101087343696908</v>
      </c>
      <c r="D39" s="132">
        <f t="shared" si="0"/>
        <v>-0.72512500304684391</v>
      </c>
      <c r="E39" s="50">
        <f>('02 - Projeções'!L38-'02 - Projeções'!L37)/'02 - Projeções'!L37</f>
        <v>1.0055764796891753</v>
      </c>
    </row>
    <row r="40" spans="1:5">
      <c r="A40" s="49">
        <f t="shared" si="2"/>
        <v>2050</v>
      </c>
      <c r="B40" s="131">
        <f t="shared" si="2"/>
        <v>31</v>
      </c>
      <c r="C40" s="132">
        <f>'02 - Projeções'!K39/'02 - Projeções'!C39</f>
        <v>0.13518474582211895</v>
      </c>
      <c r="D40" s="132">
        <f t="shared" si="0"/>
        <v>-0.73648197695493378</v>
      </c>
      <c r="E40" s="50">
        <f>('02 - Projeções'!L39-'02 - Projeções'!L38)/'02 - Projeções'!L38</f>
        <v>0.70812539752817916</v>
      </c>
    </row>
    <row r="41" spans="1:5">
      <c r="A41" s="49">
        <f t="shared" si="2"/>
        <v>2051</v>
      </c>
      <c r="B41" s="131">
        <f t="shared" si="2"/>
        <v>32</v>
      </c>
      <c r="C41" s="132">
        <f>'02 - Projeções'!K40/'02 - Projeções'!C40</f>
        <v>0.12973359593035705</v>
      </c>
      <c r="D41" s="132">
        <f t="shared" si="0"/>
        <v>-0.74710800013575618</v>
      </c>
      <c r="E41" s="50">
        <f>('02 - Projeções'!L40-'02 - Projeções'!L39)/'02 - Projeções'!L39</f>
        <v>0.48535306131138661</v>
      </c>
    </row>
    <row r="42" spans="1:5">
      <c r="A42" s="49">
        <f t="shared" si="2"/>
        <v>2052</v>
      </c>
      <c r="B42" s="131">
        <f t="shared" si="2"/>
        <v>33</v>
      </c>
      <c r="C42" s="132">
        <f>'02 - Projeções'!K41/'02 - Projeções'!C41</f>
        <v>0.12442163733699931</v>
      </c>
      <c r="D42" s="132">
        <f t="shared" si="0"/>
        <v>-0.75746269524951404</v>
      </c>
      <c r="E42" s="50">
        <f>('02 - Projeções'!L41-'02 - Projeções'!L40)/'02 - Projeções'!L40</f>
        <v>0.38587549438649893</v>
      </c>
    </row>
    <row r="43" spans="1:5">
      <c r="A43" s="49">
        <f>A42+1</f>
        <v>2053</v>
      </c>
      <c r="B43" s="131">
        <f>B42+1</f>
        <v>34</v>
      </c>
      <c r="C43" s="132">
        <f>'02 - Projeções'!K42/'02 - Projeções'!C42</f>
        <v>0.11895655404270565</v>
      </c>
      <c r="D43" s="132">
        <f t="shared" si="0"/>
        <v>-0.76811587905905332</v>
      </c>
      <c r="E43" s="50">
        <f>('02 - Projeções'!L42-'02 - Projeções'!L41)/'02 - Projeções'!L41</f>
        <v>0.36702472390131152</v>
      </c>
    </row>
    <row r="44" spans="1:5" ht="17.25" thickBot="1">
      <c r="A44" s="133">
        <f>A43+1</f>
        <v>2054</v>
      </c>
      <c r="B44" s="134">
        <f>B43+1</f>
        <v>35</v>
      </c>
      <c r="C44" s="135">
        <f>'02 - Projeções'!K43/'02 - Projeções'!C43</f>
        <v>9.775609934203297E-2</v>
      </c>
      <c r="D44" s="135">
        <f t="shared" si="0"/>
        <v>-0.80944230147751861</v>
      </c>
      <c r="E44" s="136">
        <f>('02 - Projeções'!L43-'02 - Projeções'!L42)/'02 - Projeções'!L42</f>
        <v>-1.9789716571003414E-2</v>
      </c>
    </row>
    <row r="45" spans="1:5" s="51" customFormat="1"/>
    <row r="46" spans="1:5" s="51" customFormat="1" hidden="1"/>
    <row r="47" spans="1:5" s="51" customFormat="1" hidden="1"/>
    <row r="48" spans="1:5" s="51" customFormat="1" hidden="1"/>
    <row r="49" s="51" customFormat="1" hidden="1"/>
    <row r="50" s="51" customFormat="1" hidden="1"/>
    <row r="51" s="51" customFormat="1" hidden="1"/>
    <row r="52" s="51" customFormat="1" hidden="1"/>
    <row r="53" s="51" customFormat="1" hidden="1"/>
    <row r="54" s="51" customFormat="1" hidden="1"/>
    <row r="55" s="51" customFormat="1" hidden="1"/>
    <row r="56" s="51" customFormat="1" hidden="1"/>
    <row r="57" s="51" customFormat="1" hidden="1"/>
    <row r="58" s="51" customFormat="1" hidden="1"/>
    <row r="59" s="51" customFormat="1" hidden="1"/>
    <row r="60" s="51" customFormat="1" hidden="1"/>
    <row r="61" s="51" customFormat="1" hidden="1"/>
    <row r="62" s="51" customFormat="1" hidden="1"/>
    <row r="63" s="51" customFormat="1" hidden="1"/>
    <row r="64" s="51" customFormat="1" hidden="1"/>
    <row r="65" s="51" customFormat="1" hidden="1"/>
    <row r="66" s="51" customFormat="1" hidden="1"/>
    <row r="67" s="51" customFormat="1" hidden="1"/>
    <row r="68" s="51" customFormat="1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spans="3:4" s="52" customFormat="1" hidden="1">
      <c r="C81" s="45"/>
      <c r="D81" s="45"/>
    </row>
  </sheetData>
  <mergeCells count="2">
    <mergeCell ref="A4:B4"/>
    <mergeCell ref="A3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Fluxo e Duração do Passivo</vt:lpstr>
      <vt:lpstr>Anexo 1 - Despesa com Pessoal </vt:lpstr>
      <vt:lpstr>01- Histórico</vt:lpstr>
      <vt:lpstr>02 - Projeções</vt:lpstr>
      <vt:lpstr>03 - Indicadores </vt:lpstr>
      <vt:lpstr>'01- Histórico'!Area_de_impressao</vt:lpstr>
      <vt:lpstr>'02 - Projeções'!Area_de_impressao</vt:lpstr>
      <vt:lpstr>'01- Histórico'!Titulos_de_impressao</vt:lpstr>
      <vt:lpstr>'02 - Projeções'!Titulos_de_impressao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Felipe Inacio Xavier de Azevedo - SPREV</cp:lastModifiedBy>
  <dcterms:created xsi:type="dcterms:W3CDTF">2015-01-12T14:28:52Z</dcterms:created>
  <dcterms:modified xsi:type="dcterms:W3CDTF">2020-01-23T13:59:18Z</dcterms:modified>
</cp:coreProperties>
</file>