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# Coordenação\# Apresentação\ES\"/>
    </mc:Choice>
  </mc:AlternateContent>
  <bookViews>
    <workbookView xWindow="0" yWindow="0" windowWidth="15360" windowHeight="6855" tabRatio="376" firstSheet="1" activeTab="1"/>
  </bookViews>
  <sheets>
    <sheet name="Anexo 1 - Desp. Pessoal " sheetId="79" r:id="rId1"/>
    <sheet name="01- Histórico" sheetId="68" r:id="rId2"/>
    <sheet name="02 - Projeções" sheetId="75" r:id="rId3"/>
    <sheet name="03 - Indicadores " sheetId="78" r:id="rId4"/>
  </sheets>
  <definedNames>
    <definedName name="\p">#N/A</definedName>
    <definedName name="\s">#N/A</definedName>
    <definedName name="a">#REF!,#REF!</definedName>
    <definedName name="AREA">#N/A</definedName>
    <definedName name="_xlnm.Print_Area" localSheetId="1">'01- Histórico'!$A$18:$C$30</definedName>
    <definedName name="_xlnm.Print_Area" localSheetId="2">'02 - Projeções'!$A$8:$L$45</definedName>
    <definedName name="BALA">#N/A</definedName>
    <definedName name="e">#REF!,#REF!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2">#REF!,#REF!</definedName>
    <definedName name="Planilha_1ÁreaTotal" localSheetId="0">#REF!,#REF!</definedName>
    <definedName name="Planilha_1ÁreaTotal">#REF!,#REF!</definedName>
    <definedName name="Planilha_1CabGráfico" localSheetId="2">#REF!</definedName>
    <definedName name="Planilha_1CabGráfico" localSheetId="0">#REF!</definedName>
    <definedName name="Planilha_1CabGráfico">#REF!</definedName>
    <definedName name="Planilha_1TítCols" localSheetId="2">#REF!,#REF!</definedName>
    <definedName name="Planilha_1TítCols" localSheetId="0">#REF!,#REF!</definedName>
    <definedName name="Planilha_1TítCols">#REF!,#REF!</definedName>
    <definedName name="Planilha_1TítLins" localSheetId="2">#REF!</definedName>
    <definedName name="Planilha_1TítLins" localSheetId="0">#REF!</definedName>
    <definedName name="Planilha_1TítLins">#REF!</definedName>
    <definedName name="Planilha_2ÁreaTotal" localSheetId="2">#REF!,#REF!</definedName>
    <definedName name="Planilha_2ÁreaTotal" localSheetId="0">#REF!,#REF!</definedName>
    <definedName name="Planilha_2ÁreaTotal">#REF!,#REF!</definedName>
    <definedName name="Planilha_2CabGráfico" localSheetId="2">#REF!</definedName>
    <definedName name="Planilha_2CabGráfico" localSheetId="0">#REF!</definedName>
    <definedName name="Planilha_2CabGráfico">#REF!</definedName>
    <definedName name="Planilha_2TítCols" localSheetId="2">#REF!,#REF!</definedName>
    <definedName name="Planilha_2TítCols" localSheetId="0">#REF!,#REF!</definedName>
    <definedName name="Planilha_2TítCols">#REF!,#REF!</definedName>
    <definedName name="Planilha_2TítLins" localSheetId="2">#REF!</definedName>
    <definedName name="Planilha_2TítLins" localSheetId="0">#REF!</definedName>
    <definedName name="Planilha_2TítLins">#REF!</definedName>
    <definedName name="Planilha_3ÁreaTotal" localSheetId="2">#REF!,#REF!</definedName>
    <definedName name="Planilha_3ÁreaTotal" localSheetId="0">#REF!,#REF!</definedName>
    <definedName name="Planilha_3ÁreaTotal">#REF!,#REF!</definedName>
    <definedName name="Planilha_3CabGráfico" localSheetId="2">#REF!</definedName>
    <definedName name="Planilha_3CabGráfico" localSheetId="0">#REF!</definedName>
    <definedName name="Planilha_3CabGráfico">#REF!</definedName>
    <definedName name="Planilha_3TítCols" localSheetId="2">#REF!,#REF!</definedName>
    <definedName name="Planilha_3TítCols" localSheetId="0">#REF!,#REF!</definedName>
    <definedName name="Planilha_3TítCols">#REF!,#REF!</definedName>
    <definedName name="Planilha_3TítLins" localSheetId="2">#REF!</definedName>
    <definedName name="Planilha_3TítLins" localSheetId="0">#REF!</definedName>
    <definedName name="Planilha_3TítLins">#REF!</definedName>
    <definedName name="Planilha_4ÁreaTotal" localSheetId="2">#REF!,#REF!</definedName>
    <definedName name="Planilha_4ÁreaTotal" localSheetId="0">#REF!,#REF!</definedName>
    <definedName name="Planilha_4ÁreaTotal">#REF!,#REF!</definedName>
    <definedName name="Planilha_4TítCols" localSheetId="2">#REF!,#REF!</definedName>
    <definedName name="Planilha_4TítCols" localSheetId="0">#REF!,#REF!</definedName>
    <definedName name="Planilha_4TítCols">#REF!,#REF!</definedName>
    <definedName name="_xlnm.Print_Titles" localSheetId="1">'01- Histórico'!$18:$19</definedName>
    <definedName name="_xlnm.Print_Titles" localSheetId="2">'02 - Projeções'!$8:$9</definedName>
  </definedNames>
  <calcPr calcId="152511"/>
</workbook>
</file>

<file path=xl/calcChain.xml><?xml version="1.0" encoding="utf-8"?>
<calcChain xmlns="http://schemas.openxmlformats.org/spreadsheetml/2006/main">
  <c r="C5" i="75" l="1"/>
  <c r="B4" i="78"/>
  <c r="E12" i="78" l="1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11" i="78"/>
  <c r="G11" i="75"/>
  <c r="G12" i="75"/>
  <c r="G13" i="75"/>
  <c r="G14" i="75"/>
  <c r="G15" i="75"/>
  <c r="G16" i="75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E36" i="75"/>
  <c r="E37" i="75" s="1"/>
  <c r="E38" i="75" s="1"/>
  <c r="E39" i="75" s="1"/>
  <c r="E40" i="75" s="1"/>
  <c r="E41" i="75" s="1"/>
  <c r="E42" i="75" s="1"/>
  <c r="E43" i="75" s="1"/>
  <c r="E44" i="75" s="1"/>
  <c r="E45" i="75" s="1"/>
  <c r="G45" i="75" s="1"/>
  <c r="G10" i="75"/>
  <c r="G7" i="75"/>
  <c r="H36" i="75"/>
  <c r="H37" i="75" s="1"/>
  <c r="H38" i="75" s="1"/>
  <c r="H39" i="75" s="1"/>
  <c r="H40" i="75" s="1"/>
  <c r="H41" i="75" s="1"/>
  <c r="H42" i="75" s="1"/>
  <c r="H43" i="75" s="1"/>
  <c r="H44" i="75" s="1"/>
  <c r="H45" i="75" s="1"/>
  <c r="G11" i="68"/>
  <c r="F30" i="68"/>
  <c r="G41" i="75" l="1"/>
  <c r="G37" i="75"/>
  <c r="G42" i="75"/>
  <c r="G44" i="75"/>
  <c r="G40" i="75"/>
  <c r="G36" i="75"/>
  <c r="G38" i="75"/>
  <c r="G43" i="75"/>
  <c r="G39" i="75"/>
  <c r="C9" i="75"/>
  <c r="H19" i="68"/>
  <c r="J19" i="68" s="1"/>
  <c r="G19" i="68"/>
  <c r="I19" i="68" s="1"/>
  <c r="A17" i="68"/>
  <c r="A16" i="68"/>
  <c r="F29" i="68" l="1"/>
  <c r="F28" i="68" s="1"/>
  <c r="F27" i="68" s="1"/>
  <c r="F26" i="68" s="1"/>
  <c r="F25" i="68" s="1"/>
  <c r="F24" i="68" s="1"/>
  <c r="F23" i="68" s="1"/>
  <c r="F22" i="68" s="1"/>
  <c r="F21" i="68" s="1"/>
  <c r="A30" i="68"/>
  <c r="B11" i="78"/>
  <c r="B12" i="78" s="1"/>
  <c r="B13" i="78" s="1"/>
  <c r="B14" i="78" s="1"/>
  <c r="B15" i="78" s="1"/>
  <c r="B16" i="78" s="1"/>
  <c r="B17" i="78" s="1"/>
  <c r="B18" i="78" s="1"/>
  <c r="B19" i="78" s="1"/>
  <c r="B20" i="78" s="1"/>
  <c r="B21" i="78" s="1"/>
  <c r="B22" i="78" s="1"/>
  <c r="B23" i="78" s="1"/>
  <c r="B24" i="78" s="1"/>
  <c r="B25" i="78" s="1"/>
  <c r="B26" i="78" s="1"/>
  <c r="B27" i="78" s="1"/>
  <c r="B28" i="78" s="1"/>
  <c r="B29" i="78" s="1"/>
  <c r="B30" i="78" s="1"/>
  <c r="B31" i="78" s="1"/>
  <c r="B32" i="78" s="1"/>
  <c r="B33" i="78" s="1"/>
  <c r="B34" i="78" s="1"/>
  <c r="B35" i="78" s="1"/>
  <c r="B36" i="78" s="1"/>
  <c r="B37" i="78" s="1"/>
  <c r="B38" i="78" s="1"/>
  <c r="B39" i="78" s="1"/>
  <c r="B40" i="78" s="1"/>
  <c r="B41" i="78" s="1"/>
  <c r="B42" i="78" s="1"/>
  <c r="B43" i="78" s="1"/>
  <c r="B44" i="78" s="1"/>
  <c r="B45" i="78" s="1"/>
  <c r="B11" i="75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B36" i="75" s="1"/>
  <c r="B37" i="75" s="1"/>
  <c r="B38" i="75" s="1"/>
  <c r="B39" i="75" s="1"/>
  <c r="B40" i="75" s="1"/>
  <c r="B41" i="75" s="1"/>
  <c r="B42" i="75" s="1"/>
  <c r="B43" i="75" s="1"/>
  <c r="B44" i="75" s="1"/>
  <c r="B45" i="75" s="1"/>
  <c r="A29" i="68" l="1"/>
  <c r="A28" i="68" s="1"/>
  <c r="A27" i="68" s="1"/>
  <c r="A26" i="68" s="1"/>
  <c r="A25" i="68" s="1"/>
  <c r="A24" i="68" s="1"/>
  <c r="A23" i="68" s="1"/>
  <c r="A22" i="68" s="1"/>
  <c r="A21" i="68" s="1"/>
  <c r="A20" i="68" s="1"/>
  <c r="A12" i="68"/>
  <c r="A11" i="68"/>
  <c r="A10" i="78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10" i="75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H27" i="68" l="1"/>
  <c r="H26" i="68"/>
  <c r="H28" i="68" l="1"/>
  <c r="J28" i="68" s="1"/>
  <c r="J27" i="68"/>
  <c r="H25" i="68"/>
  <c r="J26" i="68" s="1"/>
  <c r="G26" i="68"/>
  <c r="H29" i="68" l="1"/>
  <c r="J29" i="68" s="1"/>
  <c r="G25" i="68"/>
  <c r="I26" i="68" s="1"/>
  <c r="G27" i="68"/>
  <c r="I27" i="68" s="1"/>
  <c r="H24" i="68" l="1"/>
  <c r="J25" i="68" s="1"/>
  <c r="H30" i="68"/>
  <c r="J30" i="68" s="1"/>
  <c r="G24" i="68"/>
  <c r="G28" i="68"/>
  <c r="I28" i="68" s="1"/>
  <c r="H23" i="68" l="1"/>
  <c r="J24" i="68" s="1"/>
  <c r="G23" i="68"/>
  <c r="I24" i="68" s="1"/>
  <c r="I25" i="68"/>
  <c r="G29" i="68"/>
  <c r="I29" i="68" s="1"/>
  <c r="H22" i="68" l="1"/>
  <c r="J23" i="68" s="1"/>
  <c r="G22" i="68"/>
  <c r="I11" i="75"/>
  <c r="I12" i="75" s="1"/>
  <c r="I13" i="75" s="1"/>
  <c r="I14" i="75" s="1"/>
  <c r="I15" i="75" s="1"/>
  <c r="I16" i="75" s="1"/>
  <c r="I17" i="75" s="1"/>
  <c r="I18" i="75" s="1"/>
  <c r="I19" i="75" s="1"/>
  <c r="I20" i="75" s="1"/>
  <c r="I21" i="75" s="1"/>
  <c r="I22" i="75" s="1"/>
  <c r="I23" i="75" s="1"/>
  <c r="I24" i="75" s="1"/>
  <c r="I25" i="75" s="1"/>
  <c r="I26" i="75" s="1"/>
  <c r="I27" i="75" s="1"/>
  <c r="I28" i="75" s="1"/>
  <c r="I29" i="75" s="1"/>
  <c r="I30" i="75" s="1"/>
  <c r="I31" i="75" s="1"/>
  <c r="I32" i="75" s="1"/>
  <c r="I33" i="75" s="1"/>
  <c r="I34" i="75" s="1"/>
  <c r="I35" i="75" s="1"/>
  <c r="I36" i="75" s="1"/>
  <c r="I37" i="75" s="1"/>
  <c r="I38" i="75" s="1"/>
  <c r="I39" i="75" s="1"/>
  <c r="I40" i="75" s="1"/>
  <c r="I41" i="75" s="1"/>
  <c r="I42" i="75" s="1"/>
  <c r="I43" i="75" s="1"/>
  <c r="I44" i="75" s="1"/>
  <c r="I45" i="75" s="1"/>
  <c r="G30" i="68"/>
  <c r="H21" i="68" l="1"/>
  <c r="G21" i="68"/>
  <c r="I23" i="68"/>
  <c r="C10" i="75"/>
  <c r="H20" i="68" l="1"/>
  <c r="J20" i="68" s="1"/>
  <c r="G20" i="68"/>
  <c r="I20" i="68" s="1"/>
  <c r="J22" i="68"/>
  <c r="I22" i="68"/>
  <c r="I30" i="68"/>
  <c r="I21" i="68" l="1"/>
  <c r="J21" i="68"/>
  <c r="F17" i="68" s="1"/>
  <c r="F16" i="68"/>
  <c r="C11" i="75" s="1"/>
  <c r="C12" i="75" s="1"/>
  <c r="C13" i="75" s="1"/>
  <c r="C14" i="75" s="1"/>
  <c r="C15" i="75" s="1"/>
  <c r="C16" i="75" s="1"/>
  <c r="C17" i="75" s="1"/>
  <c r="C18" i="75" s="1"/>
  <c r="C19" i="75" s="1"/>
  <c r="C20" i="75" s="1"/>
  <c r="C21" i="75" s="1"/>
  <c r="C22" i="75" s="1"/>
  <c r="C23" i="75" s="1"/>
  <c r="C24" i="75" s="1"/>
  <c r="C25" i="75" s="1"/>
  <c r="C26" i="75" s="1"/>
  <c r="C27" i="75" s="1"/>
  <c r="C28" i="75" s="1"/>
  <c r="C29" i="75" s="1"/>
  <c r="C30" i="75" s="1"/>
  <c r="C31" i="75" s="1"/>
  <c r="C32" i="75" s="1"/>
  <c r="C33" i="75" s="1"/>
  <c r="C34" i="75" s="1"/>
  <c r="C35" i="75" s="1"/>
  <c r="C36" i="75" s="1"/>
  <c r="C37" i="75" s="1"/>
  <c r="C38" i="75" s="1"/>
  <c r="C39" i="75" s="1"/>
  <c r="C40" i="75" s="1"/>
  <c r="C41" i="75" s="1"/>
  <c r="C42" i="75" s="1"/>
  <c r="C43" i="75" s="1"/>
  <c r="C44" i="75" s="1"/>
  <c r="C45" i="75" s="1"/>
  <c r="F13" i="68" l="1"/>
  <c r="D10" i="75" s="1"/>
  <c r="L10" i="75" s="1"/>
  <c r="C10" i="78" l="1"/>
  <c r="D10" i="78" s="1"/>
  <c r="D11" i="75"/>
  <c r="D12" i="75" l="1"/>
  <c r="L11" i="75"/>
  <c r="C11" i="78" s="1"/>
  <c r="D11" i="78" s="1"/>
  <c r="D13" i="75" l="1"/>
  <c r="L12" i="75"/>
  <c r="C12" i="78" s="1"/>
  <c r="D12" i="78" s="1"/>
  <c r="D14" i="75" l="1"/>
  <c r="L13" i="75"/>
  <c r="C13" i="78" s="1"/>
  <c r="D13" i="78" s="1"/>
  <c r="D15" i="75" l="1"/>
  <c r="L14" i="75"/>
  <c r="C14" i="78" s="1"/>
  <c r="D14" i="78" s="1"/>
  <c r="D16" i="75" l="1"/>
  <c r="L15" i="75"/>
  <c r="C15" i="78" s="1"/>
  <c r="D15" i="78" s="1"/>
  <c r="D17" i="75" l="1"/>
  <c r="L16" i="75"/>
  <c r="C16" i="78" s="1"/>
  <c r="D16" i="78" s="1"/>
  <c r="D18" i="75" l="1"/>
  <c r="L17" i="75"/>
  <c r="C17" i="78" s="1"/>
  <c r="D17" i="78" s="1"/>
  <c r="D19" i="75" l="1"/>
  <c r="L18" i="75"/>
  <c r="C18" i="78" s="1"/>
  <c r="D18" i="78" s="1"/>
  <c r="D20" i="75" l="1"/>
  <c r="L19" i="75"/>
  <c r="C19" i="78" s="1"/>
  <c r="D19" i="78" s="1"/>
  <c r="D21" i="75" l="1"/>
  <c r="L20" i="75"/>
  <c r="C20" i="78" s="1"/>
  <c r="D20" i="78" s="1"/>
  <c r="D22" i="75" l="1"/>
  <c r="L21" i="75"/>
  <c r="C21" i="78" s="1"/>
  <c r="D21" i="78" s="1"/>
  <c r="D23" i="75" l="1"/>
  <c r="L22" i="75"/>
  <c r="C22" i="78" s="1"/>
  <c r="D22" i="78" s="1"/>
  <c r="D24" i="75" l="1"/>
  <c r="L23" i="75"/>
  <c r="C23" i="78" s="1"/>
  <c r="D23" i="78" s="1"/>
  <c r="D25" i="75" l="1"/>
  <c r="L24" i="75"/>
  <c r="C24" i="78" s="1"/>
  <c r="D24" i="78" s="1"/>
  <c r="D26" i="75" l="1"/>
  <c r="L25" i="75"/>
  <c r="C25" i="78" s="1"/>
  <c r="D25" i="78" s="1"/>
  <c r="D27" i="75" l="1"/>
  <c r="L26" i="75"/>
  <c r="C26" i="78" s="1"/>
  <c r="D26" i="78" s="1"/>
  <c r="D28" i="75" l="1"/>
  <c r="L27" i="75"/>
  <c r="C27" i="78" s="1"/>
  <c r="D27" i="78" s="1"/>
  <c r="D29" i="75" l="1"/>
  <c r="L28" i="75"/>
  <c r="C28" i="78" s="1"/>
  <c r="D28" i="78" s="1"/>
  <c r="D30" i="75" l="1"/>
  <c r="L29" i="75"/>
  <c r="C29" i="78" s="1"/>
  <c r="D29" i="78" s="1"/>
  <c r="D31" i="75" l="1"/>
  <c r="L30" i="75"/>
  <c r="C30" i="78" s="1"/>
  <c r="D30" i="78" s="1"/>
  <c r="D32" i="75" l="1"/>
  <c r="L31" i="75"/>
  <c r="C31" i="78" s="1"/>
  <c r="D31" i="78" s="1"/>
  <c r="D33" i="75" l="1"/>
  <c r="L32" i="75"/>
  <c r="C32" i="78" s="1"/>
  <c r="D32" i="78" s="1"/>
  <c r="D34" i="75" l="1"/>
  <c r="L33" i="75"/>
  <c r="C33" i="78" s="1"/>
  <c r="D33" i="78" s="1"/>
  <c r="D35" i="75" l="1"/>
  <c r="L34" i="75"/>
  <c r="C34" i="78" s="1"/>
  <c r="D34" i="78" s="1"/>
  <c r="D36" i="75" l="1"/>
  <c r="L35" i="75"/>
  <c r="C35" i="78" s="1"/>
  <c r="D35" i="78" s="1"/>
  <c r="D37" i="75" l="1"/>
  <c r="L36" i="75"/>
  <c r="C36" i="78" s="1"/>
  <c r="D36" i="78" s="1"/>
  <c r="D38" i="75" l="1"/>
  <c r="L37" i="75"/>
  <c r="C37" i="78" s="1"/>
  <c r="D37" i="78" s="1"/>
  <c r="D39" i="75" l="1"/>
  <c r="L38" i="75"/>
  <c r="C38" i="78" s="1"/>
  <c r="D38" i="78" s="1"/>
  <c r="D40" i="75" l="1"/>
  <c r="L39" i="75"/>
  <c r="C39" i="78" s="1"/>
  <c r="D39" i="78" s="1"/>
  <c r="D41" i="75" l="1"/>
  <c r="L40" i="75"/>
  <c r="C40" i="78" s="1"/>
  <c r="D40" i="78" s="1"/>
  <c r="D42" i="75" l="1"/>
  <c r="L41" i="75"/>
  <c r="C41" i="78" s="1"/>
  <c r="D41" i="78" s="1"/>
  <c r="D43" i="75" l="1"/>
  <c r="L42" i="75"/>
  <c r="C42" i="78" s="1"/>
  <c r="D42" i="78" s="1"/>
  <c r="D44" i="75" l="1"/>
  <c r="L43" i="75"/>
  <c r="C43" i="78" s="1"/>
  <c r="D43" i="78" s="1"/>
  <c r="D45" i="75" l="1"/>
  <c r="L45" i="75" s="1"/>
  <c r="C45" i="78" s="1"/>
  <c r="D45" i="78" s="1"/>
  <c r="L44" i="75"/>
  <c r="C44" i="78" s="1"/>
  <c r="D44" i="78" s="1"/>
</calcChain>
</file>

<file path=xl/sharedStrings.xml><?xml version="1.0" encoding="utf-8"?>
<sst xmlns="http://schemas.openxmlformats.org/spreadsheetml/2006/main" count="63" uniqueCount="53">
  <si>
    <t>Ente:</t>
  </si>
  <si>
    <t>Data Base:</t>
  </si>
  <si>
    <t>Data Cálculo:</t>
  </si>
  <si>
    <t>02 - Incremento do Custeio Especial proposto na RCL projetada do Ente</t>
  </si>
  <si>
    <t>Estudo de Sustentabilidado do "RPPS"</t>
  </si>
  <si>
    <t>ANO</t>
  </si>
  <si>
    <t>Ano base da Avaliação</t>
  </si>
  <si>
    <t>Inflação Acumulada</t>
  </si>
  <si>
    <t>No.</t>
  </si>
  <si>
    <t>Impacto da Despesa Total de Pessoal na RCL</t>
  </si>
  <si>
    <t>Relação com Limite Prudencial (Parágrafo único do art. 22 da LRF)</t>
  </si>
  <si>
    <t>RECEITA CORRENTE LÍQUIDA - RCL</t>
  </si>
  <si>
    <t>Contribuição Patronal (Código 121000 - Todos os Planos)</t>
  </si>
  <si>
    <t>Pessoal Ativo Efetivo (Código 109001 – GA + GF – Todos os Planos)</t>
  </si>
  <si>
    <t>Contribuição Suplementar (Código 130101 - Todos os Planos)</t>
  </si>
  <si>
    <t>Parcelamentos (Código 130201 - Todos os Planos)</t>
  </si>
  <si>
    <t>Insuficiência ou Excedente Financeiro (Código 250001 - Todos os Planos)</t>
  </si>
  <si>
    <t>Despesa com Pessoal - LRF</t>
  </si>
  <si>
    <t>Aposentadorias e Pensões (Códigos 210000 e 220000)</t>
  </si>
  <si>
    <t>DESPESA COM PESSOAL</t>
  </si>
  <si>
    <t>DESPESAS EXECUTADAS</t>
  </si>
  <si>
    <t>(Últimos 12 Meses)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</si>
  <si>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</si>
  <si>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</si>
  <si>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</si>
  <si>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</si>
  <si>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</si>
  <si>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</si>
  <si>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</si>
  <si>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</si>
  <si>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</si>
  <si>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</si>
  <si>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</si>
  <si>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</si>
  <si>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</si>
  <si>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</si>
  <si>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</si>
  <si>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- &lt;%&gt;</t>
  </si>
  <si>
    <t>LIMITE PRUDENCIAL (parágrafo único, art. 22 da LRF) - &lt;%&gt;</t>
  </si>
  <si>
    <t>LIMITE DE ALERTA (inciso II do § 1º do art. 59 da LRF) - &lt;%&gt;</t>
  </si>
  <si>
    <t>Impacto do deficit atuarial após a inclusão no Quociente do Limite de Endividamento</t>
  </si>
  <si>
    <t>Despesa com Pessoal (exceto RPPS)</t>
  </si>
  <si>
    <t>DESPESA LÍQUIDA COM PESSOAL</t>
  </si>
  <si>
    <t>Calculado</t>
  </si>
  <si>
    <t>Informado</t>
  </si>
  <si>
    <t>Dívida Consolidada Líquida – DCL</t>
  </si>
  <si>
    <t>Resultado Atuarial</t>
  </si>
  <si>
    <t>Evolução dos Recursos Garantidores (Código 290001)</t>
  </si>
  <si>
    <t>Valor Atual da Cobertura da Insuficiência Financeira (Código 139901)</t>
  </si>
  <si>
    <t xml:space="preserve">Ente: </t>
  </si>
  <si>
    <t>Inflação do Ano</t>
  </si>
  <si>
    <t>Resultado Financeiro</t>
  </si>
  <si>
    <t>01 -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</si>
</sst>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sz val="8"/>
      <color indexed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4" fillId="3" borderId="19" xfId="1" applyNumberFormat="1" applyFont="1" applyFill="1" applyBorder="1" applyAlignment="1">
      <alignment horizontal="center"/>
    </xf>
    <xf numFmtId="0" fontId="1" fillId="0" borderId="0" xfId="1"/>
    <xf numFmtId="0" fontId="4" fillId="3" borderId="20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/>
    <xf numFmtId="40" fontId="5" fillId="0" borderId="16" xfId="1" applyNumberFormat="1" applyFont="1" applyFill="1" applyBorder="1" applyAlignment="1"/>
    <xf numFmtId="0" fontId="1" fillId="0" borderId="0" xfId="1" applyBorder="1"/>
    <xf numFmtId="0" fontId="5" fillId="0" borderId="2" xfId="1" applyNumberFormat="1" applyFont="1" applyFill="1" applyBorder="1" applyAlignment="1">
      <alignment horizontal="left"/>
    </xf>
    <xf numFmtId="0" fontId="5" fillId="0" borderId="3" xfId="1" applyNumberFormat="1" applyFont="1" applyFill="1" applyBorder="1" applyAlignment="1"/>
    <xf numFmtId="40" fontId="5" fillId="0" borderId="1" xfId="1" applyNumberFormat="1" applyFont="1" applyFill="1" applyBorder="1" applyAlignment="1"/>
    <xf numFmtId="0" fontId="5" fillId="0" borderId="3" xfId="1" applyNumberFormat="1" applyFont="1" applyFill="1" applyBorder="1" applyAlignment="1">
      <alignment horizontal="left"/>
    </xf>
    <xf numFmtId="0" fontId="5" fillId="0" borderId="3" xfId="1" applyNumberFormat="1" applyFont="1" applyFill="1" applyBorder="1" applyAlignment="1">
      <alignment horizontal="left" indent="1"/>
    </xf>
    <xf numFmtId="0" fontId="5" fillId="0" borderId="23" xfId="1" applyNumberFormat="1" applyFont="1" applyFill="1" applyBorder="1" applyAlignment="1">
      <alignment horizontal="left" indent="1"/>
    </xf>
    <xf numFmtId="0" fontId="5" fillId="0" borderId="23" xfId="1" applyNumberFormat="1" applyFont="1" applyFill="1" applyBorder="1" applyAlignment="1"/>
    <xf numFmtId="40" fontId="5" fillId="0" borderId="17" xfId="1" applyNumberFormat="1" applyFont="1" applyFill="1" applyBorder="1" applyAlignment="1"/>
    <xf numFmtId="0" fontId="5" fillId="3" borderId="3" xfId="1" applyNumberFormat="1" applyFont="1" applyFill="1" applyBorder="1" applyAlignment="1"/>
    <xf numFmtId="40" fontId="5" fillId="3" borderId="2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center"/>
    </xf>
    <xf numFmtId="0" fontId="5" fillId="3" borderId="2" xfId="1" applyNumberFormat="1" applyFont="1" applyFill="1" applyBorder="1" applyAlignment="1">
      <alignment horizontal="center"/>
    </xf>
    <xf numFmtId="0" fontId="5" fillId="0" borderId="2" xfId="1" applyNumberFormat="1" applyFont="1" applyFill="1" applyBorder="1" applyAlignment="1">
      <alignment horizontal="center"/>
    </xf>
    <xf numFmtId="0" fontId="6" fillId="0" borderId="0" xfId="0" applyFont="1" applyAlignment="1"/>
    <xf numFmtId="0" fontId="5" fillId="0" borderId="0" xfId="0" applyFont="1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4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5" fillId="3" borderId="4" xfId="3" applyNumberFormat="1" applyFont="1" applyFill="1" applyBorder="1" applyAlignment="1">
      <alignment horizontal="center" vertical="center" wrapText="1"/>
    </xf>
    <xf numFmtId="10" fontId="5" fillId="4" borderId="0" xfId="2" applyNumberFormat="1" applyFont="1" applyFill="1" applyBorder="1" applyAlignment="1">
      <alignment horizontal="center" vertical="center" wrapText="1"/>
    </xf>
    <xf numFmtId="0" fontId="5" fillId="3" borderId="5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/>
    <xf numFmtId="164" fontId="5" fillId="3" borderId="1" xfId="3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0" fontId="5" fillId="2" borderId="0" xfId="2" applyNumberFormat="1" applyFont="1" applyFill="1" applyBorder="1" applyAlignment="1">
      <alignment horizontal="center" vertical="center" wrapText="1"/>
    </xf>
    <xf numFmtId="10" fontId="5" fillId="3" borderId="0" xfId="2" applyNumberFormat="1" applyFont="1" applyFill="1" applyBorder="1" applyAlignment="1">
      <alignment horizontal="center" vertical="center" wrapText="1"/>
    </xf>
    <xf numFmtId="10" fontId="5" fillId="0" borderId="0" xfId="2" applyNumberFormat="1" applyFont="1"/>
    <xf numFmtId="10" fontId="4" fillId="0" borderId="0" xfId="2" applyNumberFormat="1" applyFont="1"/>
    <xf numFmtId="10" fontId="4" fillId="2" borderId="0" xfId="2" applyNumberFormat="1" applyFont="1" applyFill="1" applyBorder="1" applyAlignment="1">
      <alignment horizontal="center" vertical="center" textRotation="90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vertical="center" wrapText="1"/>
    </xf>
    <xf numFmtId="164" fontId="4" fillId="5" borderId="25" xfId="3" applyFont="1" applyFill="1" applyBorder="1" applyAlignment="1">
      <alignment horizontal="center" vertical="center" wrapText="1"/>
    </xf>
    <xf numFmtId="10" fontId="4" fillId="5" borderId="25" xfId="0" applyNumberFormat="1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27" xfId="3" applyNumberFormat="1" applyFont="1" applyFill="1" applyBorder="1" applyAlignment="1">
      <alignment horizontal="center" vertical="center" wrapText="1"/>
    </xf>
    <xf numFmtId="164" fontId="5" fillId="3" borderId="27" xfId="3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4" borderId="8" xfId="0" applyFont="1" applyFill="1" applyBorder="1"/>
    <xf numFmtId="0" fontId="8" fillId="4" borderId="0" xfId="0" applyFont="1" applyFill="1" applyBorder="1"/>
    <xf numFmtId="0" fontId="8" fillId="4" borderId="0" xfId="0" applyFont="1" applyFill="1" applyBorder="1" applyAlignment="1">
      <alignment horizontal="center" vertical="center" wrapText="1"/>
    </xf>
    <xf numFmtId="0" fontId="8" fillId="4" borderId="9" xfId="0" applyFont="1" applyFill="1" applyBorder="1"/>
    <xf numFmtId="0" fontId="8" fillId="4" borderId="12" xfId="0" applyFont="1" applyFill="1" applyBorder="1"/>
    <xf numFmtId="10" fontId="8" fillId="3" borderId="14" xfId="2" applyNumberFormat="1" applyFont="1" applyFill="1" applyBorder="1" applyAlignment="1">
      <alignment horizontal="center" vertical="center" wrapText="1"/>
    </xf>
    <xf numFmtId="0" fontId="9" fillId="4" borderId="0" xfId="0" applyFont="1" applyFill="1" applyAlignment="1"/>
    <xf numFmtId="0" fontId="10" fillId="4" borderId="0" xfId="0" applyFont="1" applyFill="1"/>
    <xf numFmtId="0" fontId="10" fillId="4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textRotation="90" wrapText="1"/>
    </xf>
    <xf numFmtId="0" fontId="8" fillId="3" borderId="4" xfId="3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64" fontId="5" fillId="3" borderId="28" xfId="0" applyNumberFormat="1" applyFont="1" applyFill="1" applyBorder="1" applyAlignment="1">
      <alignment horizontal="center" vertical="center" wrapText="1"/>
    </xf>
    <xf numFmtId="0" fontId="10" fillId="5" borderId="24" xfId="3" applyNumberFormat="1" applyFont="1" applyFill="1" applyBorder="1" applyAlignment="1">
      <alignment vertical="center" wrapText="1"/>
    </xf>
    <xf numFmtId="0" fontId="10" fillId="5" borderId="25" xfId="3" applyNumberFormat="1" applyFont="1" applyFill="1" applyBorder="1" applyAlignment="1">
      <alignment vertical="center" wrapText="1"/>
    </xf>
    <xf numFmtId="10" fontId="10" fillId="5" borderId="25" xfId="0" applyNumberFormat="1" applyFont="1" applyFill="1" applyBorder="1" applyAlignment="1">
      <alignment vertical="center" wrapText="1"/>
    </xf>
    <xf numFmtId="0" fontId="10" fillId="5" borderId="25" xfId="0" applyFont="1" applyFill="1" applyBorder="1" applyAlignment="1">
      <alignment vertical="center" wrapText="1"/>
    </xf>
    <xf numFmtId="0" fontId="10" fillId="5" borderId="26" xfId="0" applyFont="1" applyFill="1" applyBorder="1" applyAlignment="1">
      <alignment vertical="center" wrapText="1"/>
    </xf>
    <xf numFmtId="0" fontId="8" fillId="3" borderId="1" xfId="3" applyNumberFormat="1" applyFont="1" applyFill="1" applyBorder="1" applyAlignment="1">
      <alignment horizontal="center" vertical="center" wrapText="1"/>
    </xf>
    <xf numFmtId="10" fontId="8" fillId="3" borderId="1" xfId="2" applyNumberFormat="1" applyFont="1" applyFill="1" applyBorder="1" applyAlignment="1">
      <alignment horizontal="center" vertical="center" wrapText="1"/>
    </xf>
    <xf numFmtId="0" fontId="8" fillId="3" borderId="5" xfId="3" applyNumberFormat="1" applyFont="1" applyFill="1" applyBorder="1" applyAlignment="1">
      <alignment horizontal="center" vertical="center" wrapText="1"/>
    </xf>
    <xf numFmtId="0" fontId="8" fillId="3" borderId="27" xfId="3" applyNumberFormat="1" applyFont="1" applyFill="1" applyBorder="1" applyAlignment="1">
      <alignment horizontal="center" vertical="center" wrapText="1"/>
    </xf>
    <xf numFmtId="10" fontId="8" fillId="3" borderId="27" xfId="2" applyNumberFormat="1" applyFont="1" applyFill="1" applyBorder="1" applyAlignment="1">
      <alignment horizontal="center" vertical="center" wrapText="1"/>
    </xf>
    <xf numFmtId="10" fontId="8" fillId="3" borderId="28" xfId="2" applyNumberFormat="1" applyFont="1" applyFill="1" applyBorder="1" applyAlignment="1">
      <alignment horizontal="center" vertical="center" wrapText="1"/>
    </xf>
    <xf numFmtId="0" fontId="4" fillId="3" borderId="21" xfId="1" applyNumberFormat="1" applyFont="1" applyFill="1" applyBorder="1" applyAlignment="1">
      <alignment horizontal="center" vertical="center"/>
    </xf>
    <xf numFmtId="0" fontId="4" fillId="3" borderId="22" xfId="1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4" fillId="3" borderId="18" xfId="1" applyNumberFormat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/>
    <xf numFmtId="0" fontId="5" fillId="2" borderId="0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5" fillId="8" borderId="0" xfId="1" applyNumberFormat="1" applyFont="1" applyFill="1" applyBorder="1" applyAlignment="1"/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Protection="1"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Protection="1"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4" fontId="5" fillId="4" borderId="14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4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textRotation="90" wrapText="1"/>
      <protection locked="0"/>
    </xf>
    <xf numFmtId="164" fontId="5" fillId="2" borderId="1" xfId="3" applyFont="1" applyFill="1" applyBorder="1" applyAlignment="1" applyProtection="1">
      <alignment horizontal="center" vertical="center" wrapText="1"/>
      <protection locked="0"/>
    </xf>
    <xf numFmtId="164" fontId="5" fillId="2" borderId="14" xfId="3" applyFont="1" applyFill="1" applyBorder="1" applyAlignment="1" applyProtection="1">
      <alignment horizontal="center" vertical="center" wrapText="1"/>
      <protection locked="0"/>
    </xf>
    <xf numFmtId="164" fontId="5" fillId="2" borderId="27" xfId="3" applyFont="1" applyFill="1" applyBorder="1" applyAlignment="1" applyProtection="1">
      <alignment horizontal="center" vertical="center" wrapText="1"/>
      <protection locked="0"/>
    </xf>
    <xf numFmtId="164" fontId="5" fillId="2" borderId="28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4" fillId="7" borderId="24" xfId="0" applyFont="1" applyFill="1" applyBorder="1" applyAlignment="1" applyProtection="1">
      <alignment horizontal="center" vertical="center" wrapText="1"/>
    </xf>
    <xf numFmtId="0" fontId="4" fillId="7" borderId="25" xfId="0" applyFont="1" applyFill="1" applyBorder="1" applyAlignment="1" applyProtection="1">
      <alignment horizontal="center" vertical="center" wrapText="1"/>
    </xf>
    <xf numFmtId="164" fontId="4" fillId="7" borderId="25" xfId="3" applyFont="1" applyFill="1" applyBorder="1" applyAlignment="1" applyProtection="1">
      <alignment horizontal="center" vertical="center" wrapText="1"/>
    </xf>
    <xf numFmtId="164" fontId="4" fillId="7" borderId="26" xfId="3" applyFont="1" applyFill="1" applyBorder="1" applyAlignment="1" applyProtection="1">
      <alignment horizontal="center" vertical="center" wrapText="1"/>
    </xf>
    <xf numFmtId="10" fontId="5" fillId="5" borderId="4" xfId="2" applyNumberFormat="1" applyFont="1" applyFill="1" applyBorder="1" applyAlignment="1" applyProtection="1">
      <alignment horizontal="center" vertical="center" wrapText="1"/>
    </xf>
    <xf numFmtId="10" fontId="5" fillId="5" borderId="1" xfId="2" applyNumberFormat="1" applyFont="1" applyFill="1" applyBorder="1" applyAlignment="1" applyProtection="1">
      <alignment horizontal="center" vertical="center" wrapText="1"/>
    </xf>
    <xf numFmtId="164" fontId="5" fillId="5" borderId="1" xfId="3" applyFont="1" applyFill="1" applyBorder="1" applyAlignment="1" applyProtection="1">
      <alignment horizontal="center" vertical="center" wrapText="1"/>
    </xf>
    <xf numFmtId="10" fontId="5" fillId="5" borderId="14" xfId="2" applyNumberFormat="1" applyFont="1" applyFill="1" applyBorder="1" applyAlignment="1" applyProtection="1">
      <alignment horizontal="center" vertical="center" wrapText="1"/>
    </xf>
    <xf numFmtId="10" fontId="5" fillId="5" borderId="5" xfId="2" applyNumberFormat="1" applyFont="1" applyFill="1" applyBorder="1" applyAlignment="1" applyProtection="1">
      <alignment horizontal="center" vertical="center" wrapText="1"/>
    </xf>
    <xf numFmtId="10" fontId="5" fillId="5" borderId="27" xfId="2" applyNumberFormat="1" applyFont="1" applyFill="1" applyBorder="1" applyAlignment="1" applyProtection="1">
      <alignment horizontal="center" vertical="center" wrapText="1"/>
    </xf>
    <xf numFmtId="164" fontId="5" fillId="5" borderId="27" xfId="3" applyFont="1" applyFill="1" applyBorder="1" applyAlignment="1" applyProtection="1">
      <alignment horizontal="center" vertical="center" wrapText="1"/>
    </xf>
    <xf numFmtId="10" fontId="5" fillId="5" borderId="28" xfId="2" applyNumberFormat="1" applyFont="1" applyFill="1" applyBorder="1" applyAlignment="1" applyProtection="1">
      <alignment horizontal="center" vertical="center" wrapText="1"/>
    </xf>
    <xf numFmtId="0" fontId="4" fillId="5" borderId="24" xfId="3" applyNumberFormat="1" applyFont="1" applyFill="1" applyBorder="1" applyAlignment="1" applyProtection="1">
      <alignment horizontal="center" vertical="center" wrapText="1"/>
    </xf>
    <xf numFmtId="0" fontId="5" fillId="3" borderId="4" xfId="3" applyNumberFormat="1" applyFont="1" applyFill="1" applyBorder="1" applyAlignment="1" applyProtection="1">
      <alignment horizontal="center" vertical="center" wrapText="1"/>
    </xf>
    <xf numFmtId="0" fontId="5" fillId="3" borderId="5" xfId="3" applyNumberFormat="1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</xf>
    <xf numFmtId="164" fontId="5" fillId="5" borderId="14" xfId="3" applyFont="1" applyFill="1" applyBorder="1" applyAlignment="1" applyProtection="1">
      <alignment horizontal="center" vertical="center" wrapText="1"/>
    </xf>
    <xf numFmtId="164" fontId="5" fillId="2" borderId="1" xfId="3" applyFont="1" applyFill="1" applyBorder="1" applyAlignment="1" applyProtection="1">
      <alignment horizontal="center" vertical="center" wrapText="1"/>
    </xf>
    <xf numFmtId="164" fontId="5" fillId="2" borderId="14" xfId="3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15" xfId="0" applyFont="1" applyBorder="1" applyProtection="1"/>
    <xf numFmtId="0" fontId="5" fillId="0" borderId="3" xfId="0" applyFont="1" applyBorder="1" applyProtection="1"/>
    <xf numFmtId="0" fontId="5" fillId="0" borderId="6" xfId="0" applyFont="1" applyBorder="1" applyProtection="1"/>
    <xf numFmtId="0" fontId="5" fillId="2" borderId="15" xfId="0" applyFont="1" applyFill="1" applyBorder="1" applyAlignment="1" applyProtection="1">
      <alignment horizontal="left" vertical="center"/>
    </xf>
    <xf numFmtId="0" fontId="5" fillId="2" borderId="30" xfId="0" applyFont="1" applyFill="1" applyBorder="1" applyAlignment="1" applyProtection="1">
      <alignment horizontal="left" vertical="center"/>
    </xf>
    <xf numFmtId="0" fontId="5" fillId="0" borderId="31" xfId="0" applyFont="1" applyBorder="1" applyProtection="1"/>
    <xf numFmtId="0" fontId="5" fillId="0" borderId="32" xfId="0" applyFont="1" applyBorder="1" applyProtection="1"/>
    <xf numFmtId="0" fontId="5" fillId="4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4" fontId="5" fillId="6" borderId="1" xfId="0" applyNumberFormat="1" applyFont="1" applyFill="1" applyBorder="1" applyAlignment="1" applyProtection="1">
      <alignment horizontal="center"/>
    </xf>
    <xf numFmtId="4" fontId="5" fillId="6" borderId="14" xfId="0" applyNumberFormat="1" applyFont="1" applyFill="1" applyBorder="1" applyAlignment="1" applyProtection="1">
      <alignment horizontal="center"/>
    </xf>
    <xf numFmtId="4" fontId="5" fillId="6" borderId="28" xfId="0" applyNumberFormat="1" applyFont="1" applyFill="1" applyBorder="1" applyAlignment="1" applyProtection="1">
      <alignment horizontal="center"/>
    </xf>
    <xf numFmtId="10" fontId="5" fillId="4" borderId="27" xfId="2" applyNumberFormat="1" applyFont="1" applyFill="1" applyBorder="1" applyAlignment="1" applyProtection="1">
      <alignment horizontal="center" vertical="center" wrapText="1"/>
    </xf>
    <xf numFmtId="10" fontId="5" fillId="4" borderId="1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/>
    <xf numFmtId="0" fontId="8" fillId="0" borderId="0" xfId="0" applyFont="1" applyProtection="1"/>
    <xf numFmtId="0" fontId="10" fillId="0" borderId="0" xfId="0" applyFont="1" applyAlignment="1" applyProtection="1"/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</cellXfs>
  <cellStyles count="5">
    <cellStyle name="Normal" xfId="0" builtinId="0"/>
    <cellStyle name="Normal 2" xfId="1"/>
    <cellStyle name="Porcentagem" xfId="2" builtinId="5"/>
    <cellStyle name="Vírgula 2" xfId="3"/>
    <cellStyle name="Vírgula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A12" sqref="A12"/>
    </sheetView>
  </sheetViews>
  <sheetFormatPr defaultRowHeight="12.75" x14ac:dyDescent="0.2"/>
  <cols>
    <col min="1" max="1" width="60.7109375" style="2" customWidth="1"/>
    <col min="2" max="4" width="9.140625" style="2"/>
    <col min="5" max="5" width="5" style="2" customWidth="1"/>
    <col min="6" max="6" width="20.140625" style="2" bestFit="1" customWidth="1"/>
    <col min="7" max="256" width="9.140625" style="2"/>
    <col min="257" max="257" width="60.7109375" style="2" customWidth="1"/>
    <col min="258" max="260" width="9.140625" style="2"/>
    <col min="261" max="261" width="5" style="2" customWidth="1"/>
    <col min="262" max="262" width="35.7109375" style="2" customWidth="1"/>
    <col min="263" max="512" width="9.140625" style="2"/>
    <col min="513" max="513" width="60.7109375" style="2" customWidth="1"/>
    <col min="514" max="516" width="9.140625" style="2"/>
    <col min="517" max="517" width="5" style="2" customWidth="1"/>
    <col min="518" max="518" width="35.7109375" style="2" customWidth="1"/>
    <col min="519" max="768" width="9.140625" style="2"/>
    <col min="769" max="769" width="60.7109375" style="2" customWidth="1"/>
    <col min="770" max="772" width="9.140625" style="2"/>
    <col min="773" max="773" width="5" style="2" customWidth="1"/>
    <col min="774" max="774" width="35.7109375" style="2" customWidth="1"/>
    <col min="775" max="1024" width="9.140625" style="2"/>
    <col min="1025" max="1025" width="60.7109375" style="2" customWidth="1"/>
    <col min="1026" max="1028" width="9.140625" style="2"/>
    <col min="1029" max="1029" width="5" style="2" customWidth="1"/>
    <col min="1030" max="1030" width="35.7109375" style="2" customWidth="1"/>
    <col min="1031" max="1280" width="9.140625" style="2"/>
    <col min="1281" max="1281" width="60.7109375" style="2" customWidth="1"/>
    <col min="1282" max="1284" width="9.140625" style="2"/>
    <col min="1285" max="1285" width="5" style="2" customWidth="1"/>
    <col min="1286" max="1286" width="35.7109375" style="2" customWidth="1"/>
    <col min="1287" max="1536" width="9.140625" style="2"/>
    <col min="1537" max="1537" width="60.7109375" style="2" customWidth="1"/>
    <col min="1538" max="1540" width="9.140625" style="2"/>
    <col min="1541" max="1541" width="5" style="2" customWidth="1"/>
    <col min="1542" max="1542" width="35.7109375" style="2" customWidth="1"/>
    <col min="1543" max="1792" width="9.140625" style="2"/>
    <col min="1793" max="1793" width="60.7109375" style="2" customWidth="1"/>
    <col min="1794" max="1796" width="9.140625" style="2"/>
    <col min="1797" max="1797" width="5" style="2" customWidth="1"/>
    <col min="1798" max="1798" width="35.7109375" style="2" customWidth="1"/>
    <col min="1799" max="2048" width="9.140625" style="2"/>
    <col min="2049" max="2049" width="60.7109375" style="2" customWidth="1"/>
    <col min="2050" max="2052" width="9.140625" style="2"/>
    <col min="2053" max="2053" width="5" style="2" customWidth="1"/>
    <col min="2054" max="2054" width="35.7109375" style="2" customWidth="1"/>
    <col min="2055" max="2304" width="9.140625" style="2"/>
    <col min="2305" max="2305" width="60.7109375" style="2" customWidth="1"/>
    <col min="2306" max="2308" width="9.140625" style="2"/>
    <col min="2309" max="2309" width="5" style="2" customWidth="1"/>
    <col min="2310" max="2310" width="35.7109375" style="2" customWidth="1"/>
    <col min="2311" max="2560" width="9.140625" style="2"/>
    <col min="2561" max="2561" width="60.7109375" style="2" customWidth="1"/>
    <col min="2562" max="2564" width="9.140625" style="2"/>
    <col min="2565" max="2565" width="5" style="2" customWidth="1"/>
    <col min="2566" max="2566" width="35.7109375" style="2" customWidth="1"/>
    <col min="2567" max="2816" width="9.140625" style="2"/>
    <col min="2817" max="2817" width="60.7109375" style="2" customWidth="1"/>
    <col min="2818" max="2820" width="9.140625" style="2"/>
    <col min="2821" max="2821" width="5" style="2" customWidth="1"/>
    <col min="2822" max="2822" width="35.7109375" style="2" customWidth="1"/>
    <col min="2823" max="3072" width="9.140625" style="2"/>
    <col min="3073" max="3073" width="60.7109375" style="2" customWidth="1"/>
    <col min="3074" max="3076" width="9.140625" style="2"/>
    <col min="3077" max="3077" width="5" style="2" customWidth="1"/>
    <col min="3078" max="3078" width="35.7109375" style="2" customWidth="1"/>
    <col min="3079" max="3328" width="9.140625" style="2"/>
    <col min="3329" max="3329" width="60.7109375" style="2" customWidth="1"/>
    <col min="3330" max="3332" width="9.140625" style="2"/>
    <col min="3333" max="3333" width="5" style="2" customWidth="1"/>
    <col min="3334" max="3334" width="35.7109375" style="2" customWidth="1"/>
    <col min="3335" max="3584" width="9.140625" style="2"/>
    <col min="3585" max="3585" width="60.7109375" style="2" customWidth="1"/>
    <col min="3586" max="3588" width="9.140625" style="2"/>
    <col min="3589" max="3589" width="5" style="2" customWidth="1"/>
    <col min="3590" max="3590" width="35.7109375" style="2" customWidth="1"/>
    <col min="3591" max="3840" width="9.140625" style="2"/>
    <col min="3841" max="3841" width="60.7109375" style="2" customWidth="1"/>
    <col min="3842" max="3844" width="9.140625" style="2"/>
    <col min="3845" max="3845" width="5" style="2" customWidth="1"/>
    <col min="3846" max="3846" width="35.7109375" style="2" customWidth="1"/>
    <col min="3847" max="4096" width="9.140625" style="2"/>
    <col min="4097" max="4097" width="60.7109375" style="2" customWidth="1"/>
    <col min="4098" max="4100" width="9.140625" style="2"/>
    <col min="4101" max="4101" width="5" style="2" customWidth="1"/>
    <col min="4102" max="4102" width="35.7109375" style="2" customWidth="1"/>
    <col min="4103" max="4352" width="9.140625" style="2"/>
    <col min="4353" max="4353" width="60.7109375" style="2" customWidth="1"/>
    <col min="4354" max="4356" width="9.140625" style="2"/>
    <col min="4357" max="4357" width="5" style="2" customWidth="1"/>
    <col min="4358" max="4358" width="35.7109375" style="2" customWidth="1"/>
    <col min="4359" max="4608" width="9.140625" style="2"/>
    <col min="4609" max="4609" width="60.7109375" style="2" customWidth="1"/>
    <col min="4610" max="4612" width="9.140625" style="2"/>
    <col min="4613" max="4613" width="5" style="2" customWidth="1"/>
    <col min="4614" max="4614" width="35.7109375" style="2" customWidth="1"/>
    <col min="4615" max="4864" width="9.140625" style="2"/>
    <col min="4865" max="4865" width="60.7109375" style="2" customWidth="1"/>
    <col min="4866" max="4868" width="9.140625" style="2"/>
    <col min="4869" max="4869" width="5" style="2" customWidth="1"/>
    <col min="4870" max="4870" width="35.7109375" style="2" customWidth="1"/>
    <col min="4871" max="5120" width="9.140625" style="2"/>
    <col min="5121" max="5121" width="60.7109375" style="2" customWidth="1"/>
    <col min="5122" max="5124" width="9.140625" style="2"/>
    <col min="5125" max="5125" width="5" style="2" customWidth="1"/>
    <col min="5126" max="5126" width="35.7109375" style="2" customWidth="1"/>
    <col min="5127" max="5376" width="9.140625" style="2"/>
    <col min="5377" max="5377" width="60.7109375" style="2" customWidth="1"/>
    <col min="5378" max="5380" width="9.140625" style="2"/>
    <col min="5381" max="5381" width="5" style="2" customWidth="1"/>
    <col min="5382" max="5382" width="35.7109375" style="2" customWidth="1"/>
    <col min="5383" max="5632" width="9.140625" style="2"/>
    <col min="5633" max="5633" width="60.7109375" style="2" customWidth="1"/>
    <col min="5634" max="5636" width="9.140625" style="2"/>
    <col min="5637" max="5637" width="5" style="2" customWidth="1"/>
    <col min="5638" max="5638" width="35.7109375" style="2" customWidth="1"/>
    <col min="5639" max="5888" width="9.140625" style="2"/>
    <col min="5889" max="5889" width="60.7109375" style="2" customWidth="1"/>
    <col min="5890" max="5892" width="9.140625" style="2"/>
    <col min="5893" max="5893" width="5" style="2" customWidth="1"/>
    <col min="5894" max="5894" width="35.7109375" style="2" customWidth="1"/>
    <col min="5895" max="6144" width="9.140625" style="2"/>
    <col min="6145" max="6145" width="60.7109375" style="2" customWidth="1"/>
    <col min="6146" max="6148" width="9.140625" style="2"/>
    <col min="6149" max="6149" width="5" style="2" customWidth="1"/>
    <col min="6150" max="6150" width="35.7109375" style="2" customWidth="1"/>
    <col min="6151" max="6400" width="9.140625" style="2"/>
    <col min="6401" max="6401" width="60.7109375" style="2" customWidth="1"/>
    <col min="6402" max="6404" width="9.140625" style="2"/>
    <col min="6405" max="6405" width="5" style="2" customWidth="1"/>
    <col min="6406" max="6406" width="35.7109375" style="2" customWidth="1"/>
    <col min="6407" max="6656" width="9.140625" style="2"/>
    <col min="6657" max="6657" width="60.7109375" style="2" customWidth="1"/>
    <col min="6658" max="6660" width="9.140625" style="2"/>
    <col min="6661" max="6661" width="5" style="2" customWidth="1"/>
    <col min="6662" max="6662" width="35.7109375" style="2" customWidth="1"/>
    <col min="6663" max="6912" width="9.140625" style="2"/>
    <col min="6913" max="6913" width="60.7109375" style="2" customWidth="1"/>
    <col min="6914" max="6916" width="9.140625" style="2"/>
    <col min="6917" max="6917" width="5" style="2" customWidth="1"/>
    <col min="6918" max="6918" width="35.7109375" style="2" customWidth="1"/>
    <col min="6919" max="7168" width="9.140625" style="2"/>
    <col min="7169" max="7169" width="60.7109375" style="2" customWidth="1"/>
    <col min="7170" max="7172" width="9.140625" style="2"/>
    <col min="7173" max="7173" width="5" style="2" customWidth="1"/>
    <col min="7174" max="7174" width="35.7109375" style="2" customWidth="1"/>
    <col min="7175" max="7424" width="9.140625" style="2"/>
    <col min="7425" max="7425" width="60.7109375" style="2" customWidth="1"/>
    <col min="7426" max="7428" width="9.140625" style="2"/>
    <col min="7429" max="7429" width="5" style="2" customWidth="1"/>
    <col min="7430" max="7430" width="35.7109375" style="2" customWidth="1"/>
    <col min="7431" max="7680" width="9.140625" style="2"/>
    <col min="7681" max="7681" width="60.7109375" style="2" customWidth="1"/>
    <col min="7682" max="7684" width="9.140625" style="2"/>
    <col min="7685" max="7685" width="5" style="2" customWidth="1"/>
    <col min="7686" max="7686" width="35.7109375" style="2" customWidth="1"/>
    <col min="7687" max="7936" width="9.140625" style="2"/>
    <col min="7937" max="7937" width="60.7109375" style="2" customWidth="1"/>
    <col min="7938" max="7940" width="9.140625" style="2"/>
    <col min="7941" max="7941" width="5" style="2" customWidth="1"/>
    <col min="7942" max="7942" width="35.7109375" style="2" customWidth="1"/>
    <col min="7943" max="8192" width="9.140625" style="2"/>
    <col min="8193" max="8193" width="60.7109375" style="2" customWidth="1"/>
    <col min="8194" max="8196" width="9.140625" style="2"/>
    <col min="8197" max="8197" width="5" style="2" customWidth="1"/>
    <col min="8198" max="8198" width="35.7109375" style="2" customWidth="1"/>
    <col min="8199" max="8448" width="9.140625" style="2"/>
    <col min="8449" max="8449" width="60.7109375" style="2" customWidth="1"/>
    <col min="8450" max="8452" width="9.140625" style="2"/>
    <col min="8453" max="8453" width="5" style="2" customWidth="1"/>
    <col min="8454" max="8454" width="35.7109375" style="2" customWidth="1"/>
    <col min="8455" max="8704" width="9.140625" style="2"/>
    <col min="8705" max="8705" width="60.7109375" style="2" customWidth="1"/>
    <col min="8706" max="8708" width="9.140625" style="2"/>
    <col min="8709" max="8709" width="5" style="2" customWidth="1"/>
    <col min="8710" max="8710" width="35.7109375" style="2" customWidth="1"/>
    <col min="8711" max="8960" width="9.140625" style="2"/>
    <col min="8961" max="8961" width="60.7109375" style="2" customWidth="1"/>
    <col min="8962" max="8964" width="9.140625" style="2"/>
    <col min="8965" max="8965" width="5" style="2" customWidth="1"/>
    <col min="8966" max="8966" width="35.7109375" style="2" customWidth="1"/>
    <col min="8967" max="9216" width="9.140625" style="2"/>
    <col min="9217" max="9217" width="60.7109375" style="2" customWidth="1"/>
    <col min="9218" max="9220" width="9.140625" style="2"/>
    <col min="9221" max="9221" width="5" style="2" customWidth="1"/>
    <col min="9222" max="9222" width="35.7109375" style="2" customWidth="1"/>
    <col min="9223" max="9472" width="9.140625" style="2"/>
    <col min="9473" max="9473" width="60.7109375" style="2" customWidth="1"/>
    <col min="9474" max="9476" width="9.140625" style="2"/>
    <col min="9477" max="9477" width="5" style="2" customWidth="1"/>
    <col min="9478" max="9478" width="35.7109375" style="2" customWidth="1"/>
    <col min="9479" max="9728" width="9.140625" style="2"/>
    <col min="9729" max="9729" width="60.7109375" style="2" customWidth="1"/>
    <col min="9730" max="9732" width="9.140625" style="2"/>
    <col min="9733" max="9733" width="5" style="2" customWidth="1"/>
    <col min="9734" max="9734" width="35.7109375" style="2" customWidth="1"/>
    <col min="9735" max="9984" width="9.140625" style="2"/>
    <col min="9985" max="9985" width="60.7109375" style="2" customWidth="1"/>
    <col min="9986" max="9988" width="9.140625" style="2"/>
    <col min="9989" max="9989" width="5" style="2" customWidth="1"/>
    <col min="9990" max="9990" width="35.7109375" style="2" customWidth="1"/>
    <col min="9991" max="10240" width="9.140625" style="2"/>
    <col min="10241" max="10241" width="60.7109375" style="2" customWidth="1"/>
    <col min="10242" max="10244" width="9.140625" style="2"/>
    <col min="10245" max="10245" width="5" style="2" customWidth="1"/>
    <col min="10246" max="10246" width="35.7109375" style="2" customWidth="1"/>
    <col min="10247" max="10496" width="9.140625" style="2"/>
    <col min="10497" max="10497" width="60.7109375" style="2" customWidth="1"/>
    <col min="10498" max="10500" width="9.140625" style="2"/>
    <col min="10501" max="10501" width="5" style="2" customWidth="1"/>
    <col min="10502" max="10502" width="35.7109375" style="2" customWidth="1"/>
    <col min="10503" max="10752" width="9.140625" style="2"/>
    <col min="10753" max="10753" width="60.7109375" style="2" customWidth="1"/>
    <col min="10754" max="10756" width="9.140625" style="2"/>
    <col min="10757" max="10757" width="5" style="2" customWidth="1"/>
    <col min="10758" max="10758" width="35.7109375" style="2" customWidth="1"/>
    <col min="10759" max="11008" width="9.140625" style="2"/>
    <col min="11009" max="11009" width="60.7109375" style="2" customWidth="1"/>
    <col min="11010" max="11012" width="9.140625" style="2"/>
    <col min="11013" max="11013" width="5" style="2" customWidth="1"/>
    <col min="11014" max="11014" width="35.7109375" style="2" customWidth="1"/>
    <col min="11015" max="11264" width="9.140625" style="2"/>
    <col min="11265" max="11265" width="60.7109375" style="2" customWidth="1"/>
    <col min="11266" max="11268" width="9.140625" style="2"/>
    <col min="11269" max="11269" width="5" style="2" customWidth="1"/>
    <col min="11270" max="11270" width="35.7109375" style="2" customWidth="1"/>
    <col min="11271" max="11520" width="9.140625" style="2"/>
    <col min="11521" max="11521" width="60.7109375" style="2" customWidth="1"/>
    <col min="11522" max="11524" width="9.140625" style="2"/>
    <col min="11525" max="11525" width="5" style="2" customWidth="1"/>
    <col min="11526" max="11526" width="35.7109375" style="2" customWidth="1"/>
    <col min="11527" max="11776" width="9.140625" style="2"/>
    <col min="11777" max="11777" width="60.7109375" style="2" customWidth="1"/>
    <col min="11778" max="11780" width="9.140625" style="2"/>
    <col min="11781" max="11781" width="5" style="2" customWidth="1"/>
    <col min="11782" max="11782" width="35.7109375" style="2" customWidth="1"/>
    <col min="11783" max="12032" width="9.140625" style="2"/>
    <col min="12033" max="12033" width="60.7109375" style="2" customWidth="1"/>
    <col min="12034" max="12036" width="9.140625" style="2"/>
    <col min="12037" max="12037" width="5" style="2" customWidth="1"/>
    <col min="12038" max="12038" width="35.7109375" style="2" customWidth="1"/>
    <col min="12039" max="12288" width="9.140625" style="2"/>
    <col min="12289" max="12289" width="60.7109375" style="2" customWidth="1"/>
    <col min="12290" max="12292" width="9.140625" style="2"/>
    <col min="12293" max="12293" width="5" style="2" customWidth="1"/>
    <col min="12294" max="12294" width="35.7109375" style="2" customWidth="1"/>
    <col min="12295" max="12544" width="9.140625" style="2"/>
    <col min="12545" max="12545" width="60.7109375" style="2" customWidth="1"/>
    <col min="12546" max="12548" width="9.140625" style="2"/>
    <col min="12549" max="12549" width="5" style="2" customWidth="1"/>
    <col min="12550" max="12550" width="35.7109375" style="2" customWidth="1"/>
    <col min="12551" max="12800" width="9.140625" style="2"/>
    <col min="12801" max="12801" width="60.7109375" style="2" customWidth="1"/>
    <col min="12802" max="12804" width="9.140625" style="2"/>
    <col min="12805" max="12805" width="5" style="2" customWidth="1"/>
    <col min="12806" max="12806" width="35.7109375" style="2" customWidth="1"/>
    <col min="12807" max="13056" width="9.140625" style="2"/>
    <col min="13057" max="13057" width="60.7109375" style="2" customWidth="1"/>
    <col min="13058" max="13060" width="9.140625" style="2"/>
    <col min="13061" max="13061" width="5" style="2" customWidth="1"/>
    <col min="13062" max="13062" width="35.7109375" style="2" customWidth="1"/>
    <col min="13063" max="13312" width="9.140625" style="2"/>
    <col min="13313" max="13313" width="60.7109375" style="2" customWidth="1"/>
    <col min="13314" max="13316" width="9.140625" style="2"/>
    <col min="13317" max="13317" width="5" style="2" customWidth="1"/>
    <col min="13318" max="13318" width="35.7109375" style="2" customWidth="1"/>
    <col min="13319" max="13568" width="9.140625" style="2"/>
    <col min="13569" max="13569" width="60.7109375" style="2" customWidth="1"/>
    <col min="13570" max="13572" width="9.140625" style="2"/>
    <col min="13573" max="13573" width="5" style="2" customWidth="1"/>
    <col min="13574" max="13574" width="35.7109375" style="2" customWidth="1"/>
    <col min="13575" max="13824" width="9.140625" style="2"/>
    <col min="13825" max="13825" width="60.7109375" style="2" customWidth="1"/>
    <col min="13826" max="13828" width="9.140625" style="2"/>
    <col min="13829" max="13829" width="5" style="2" customWidth="1"/>
    <col min="13830" max="13830" width="35.7109375" style="2" customWidth="1"/>
    <col min="13831" max="14080" width="9.140625" style="2"/>
    <col min="14081" max="14081" width="60.7109375" style="2" customWidth="1"/>
    <col min="14082" max="14084" width="9.140625" style="2"/>
    <col min="14085" max="14085" width="5" style="2" customWidth="1"/>
    <col min="14086" max="14086" width="35.7109375" style="2" customWidth="1"/>
    <col min="14087" max="14336" width="9.140625" style="2"/>
    <col min="14337" max="14337" width="60.7109375" style="2" customWidth="1"/>
    <col min="14338" max="14340" width="9.140625" style="2"/>
    <col min="14341" max="14341" width="5" style="2" customWidth="1"/>
    <col min="14342" max="14342" width="35.7109375" style="2" customWidth="1"/>
    <col min="14343" max="14592" width="9.140625" style="2"/>
    <col min="14593" max="14593" width="60.7109375" style="2" customWidth="1"/>
    <col min="14594" max="14596" width="9.140625" style="2"/>
    <col min="14597" max="14597" width="5" style="2" customWidth="1"/>
    <col min="14598" max="14598" width="35.7109375" style="2" customWidth="1"/>
    <col min="14599" max="14848" width="9.140625" style="2"/>
    <col min="14849" max="14849" width="60.7109375" style="2" customWidth="1"/>
    <col min="14850" max="14852" width="9.140625" style="2"/>
    <col min="14853" max="14853" width="5" style="2" customWidth="1"/>
    <col min="14854" max="14854" width="35.7109375" style="2" customWidth="1"/>
    <col min="14855" max="15104" width="9.140625" style="2"/>
    <col min="15105" max="15105" width="60.7109375" style="2" customWidth="1"/>
    <col min="15106" max="15108" width="9.140625" style="2"/>
    <col min="15109" max="15109" width="5" style="2" customWidth="1"/>
    <col min="15110" max="15110" width="35.7109375" style="2" customWidth="1"/>
    <col min="15111" max="15360" width="9.140625" style="2"/>
    <col min="15361" max="15361" width="60.7109375" style="2" customWidth="1"/>
    <col min="15362" max="15364" width="9.140625" style="2"/>
    <col min="15365" max="15365" width="5" style="2" customWidth="1"/>
    <col min="15366" max="15366" width="35.7109375" style="2" customWidth="1"/>
    <col min="15367" max="15616" width="9.140625" style="2"/>
    <col min="15617" max="15617" width="60.7109375" style="2" customWidth="1"/>
    <col min="15618" max="15620" width="9.140625" style="2"/>
    <col min="15621" max="15621" width="5" style="2" customWidth="1"/>
    <col min="15622" max="15622" width="35.7109375" style="2" customWidth="1"/>
    <col min="15623" max="15872" width="9.140625" style="2"/>
    <col min="15873" max="15873" width="60.7109375" style="2" customWidth="1"/>
    <col min="15874" max="15876" width="9.140625" style="2"/>
    <col min="15877" max="15877" width="5" style="2" customWidth="1"/>
    <col min="15878" max="15878" width="35.7109375" style="2" customWidth="1"/>
    <col min="15879" max="16128" width="9.140625" style="2"/>
    <col min="16129" max="16129" width="60.7109375" style="2" customWidth="1"/>
    <col min="16130" max="16132" width="9.140625" style="2"/>
    <col min="16133" max="16133" width="5" style="2" customWidth="1"/>
    <col min="16134" max="16134" width="35.7109375" style="2" customWidth="1"/>
    <col min="16135" max="16384" width="9.140625" style="2"/>
  </cols>
  <sheetData>
    <row r="1" spans="1:7" x14ac:dyDescent="0.2">
      <c r="A1" s="83" t="s">
        <v>19</v>
      </c>
      <c r="B1" s="83"/>
      <c r="C1" s="83"/>
      <c r="D1" s="83"/>
      <c r="E1" s="84"/>
      <c r="F1" s="1" t="s">
        <v>20</v>
      </c>
    </row>
    <row r="2" spans="1:7" x14ac:dyDescent="0.2">
      <c r="A2" s="85"/>
      <c r="B2" s="85"/>
      <c r="C2" s="85"/>
      <c r="D2" s="85"/>
      <c r="E2" s="86"/>
      <c r="F2" s="3" t="s">
        <v>21</v>
      </c>
    </row>
    <row r="3" spans="1:7" x14ac:dyDescent="0.2">
      <c r="A3" s="4" t="s">
        <v>22</v>
      </c>
      <c r="B3" s="4"/>
      <c r="C3" s="4"/>
      <c r="D3" s="4"/>
      <c r="E3" s="4"/>
      <c r="F3" s="5"/>
      <c r="G3" s="6"/>
    </row>
    <row r="4" spans="1:7" x14ac:dyDescent="0.2">
      <c r="A4" s="7" t="s">
        <v>23</v>
      </c>
      <c r="B4" s="8"/>
      <c r="C4" s="8"/>
      <c r="D4" s="8"/>
      <c r="E4" s="8"/>
      <c r="F4" s="9"/>
    </row>
    <row r="5" spans="1:7" x14ac:dyDescent="0.2">
      <c r="A5" s="10" t="s">
        <v>24</v>
      </c>
      <c r="B5" s="8"/>
      <c r="C5" s="8"/>
      <c r="D5" s="8"/>
      <c r="E5" s="8"/>
      <c r="F5" s="9"/>
    </row>
    <row r="6" spans="1:7" x14ac:dyDescent="0.2">
      <c r="A6" s="10" t="s">
        <v>25</v>
      </c>
      <c r="B6" s="8"/>
      <c r="C6" s="8"/>
      <c r="D6" s="8"/>
      <c r="E6" s="8"/>
      <c r="F6" s="9"/>
    </row>
    <row r="7" spans="1:7" x14ac:dyDescent="0.2">
      <c r="A7" s="8" t="s">
        <v>26</v>
      </c>
      <c r="B7" s="8"/>
      <c r="C7" s="8"/>
      <c r="D7" s="8"/>
      <c r="E7" s="8"/>
      <c r="F7" s="9"/>
      <c r="G7" s="6"/>
    </row>
    <row r="8" spans="1:7" x14ac:dyDescent="0.2">
      <c r="A8" s="11" t="s">
        <v>27</v>
      </c>
      <c r="B8" s="8"/>
      <c r="C8" s="8"/>
      <c r="D8" s="8"/>
      <c r="E8" s="8"/>
      <c r="F8" s="9"/>
    </row>
    <row r="9" spans="1:7" x14ac:dyDescent="0.2">
      <c r="A9" s="11" t="s">
        <v>28</v>
      </c>
      <c r="B9" s="8"/>
      <c r="C9" s="8"/>
      <c r="D9" s="8"/>
      <c r="E9" s="8"/>
      <c r="F9" s="9"/>
    </row>
    <row r="10" spans="1:7" x14ac:dyDescent="0.2">
      <c r="A10" s="11" t="s">
        <v>29</v>
      </c>
      <c r="B10" s="8"/>
      <c r="C10" s="8"/>
      <c r="D10" s="8"/>
      <c r="E10" s="8"/>
      <c r="F10" s="9"/>
    </row>
    <row r="11" spans="1:7" x14ac:dyDescent="0.2">
      <c r="A11" s="12" t="s">
        <v>30</v>
      </c>
      <c r="B11" s="13"/>
      <c r="C11" s="13"/>
      <c r="D11" s="13"/>
      <c r="E11" s="13"/>
      <c r="F11" s="14"/>
    </row>
    <row r="12" spans="1:7" x14ac:dyDescent="0.2">
      <c r="A12" s="91" t="s">
        <v>31</v>
      </c>
      <c r="B12" s="13"/>
      <c r="C12" s="13"/>
      <c r="D12" s="13"/>
      <c r="E12" s="13"/>
      <c r="F12" s="14"/>
      <c r="G12" s="6"/>
    </row>
    <row r="13" spans="1:7" x14ac:dyDescent="0.2">
      <c r="A13" s="15" t="s">
        <v>32</v>
      </c>
      <c r="B13" s="15"/>
      <c r="C13" s="15"/>
      <c r="D13" s="15"/>
      <c r="E13" s="15"/>
      <c r="F13" s="16"/>
    </row>
    <row r="14" spans="1:7" x14ac:dyDescent="0.2">
      <c r="A14" s="8"/>
      <c r="B14" s="8"/>
      <c r="C14" s="8"/>
      <c r="D14" s="8"/>
      <c r="E14" s="8"/>
      <c r="F14" s="8"/>
    </row>
    <row r="15" spans="1:7" x14ac:dyDescent="0.2">
      <c r="A15" s="87" t="s">
        <v>33</v>
      </c>
      <c r="B15" s="87"/>
      <c r="C15" s="87"/>
      <c r="D15" s="87"/>
      <c r="E15" s="87"/>
      <c r="F15" s="17" t="s">
        <v>34</v>
      </c>
    </row>
    <row r="16" spans="1:7" x14ac:dyDescent="0.2">
      <c r="A16" s="8" t="s">
        <v>35</v>
      </c>
      <c r="B16" s="8"/>
      <c r="C16" s="8"/>
      <c r="D16" s="8"/>
      <c r="E16" s="8"/>
      <c r="F16" s="18"/>
    </row>
    <row r="17" spans="1:6" x14ac:dyDescent="0.2">
      <c r="A17" s="15" t="s">
        <v>36</v>
      </c>
      <c r="B17" s="15"/>
      <c r="C17" s="15"/>
      <c r="D17" s="15"/>
      <c r="E17" s="15"/>
      <c r="F17" s="19"/>
    </row>
    <row r="18" spans="1:6" x14ac:dyDescent="0.2">
      <c r="A18" s="88" t="s">
        <v>37</v>
      </c>
      <c r="B18" s="88"/>
      <c r="C18" s="88"/>
      <c r="D18" s="88"/>
      <c r="E18" s="88"/>
      <c r="F18" s="20"/>
    </row>
    <row r="19" spans="1:6" x14ac:dyDescent="0.2">
      <c r="A19" s="8" t="s">
        <v>38</v>
      </c>
      <c r="B19" s="8"/>
      <c r="C19" s="8"/>
      <c r="D19" s="8"/>
      <c r="E19" s="8"/>
      <c r="F19" s="20"/>
    </row>
    <row r="20" spans="1:6" x14ac:dyDescent="0.2">
      <c r="A20" s="8" t="s">
        <v>39</v>
      </c>
      <c r="B20" s="8"/>
      <c r="C20" s="8"/>
      <c r="D20" s="8"/>
      <c r="E20" s="8"/>
      <c r="F20" s="20"/>
    </row>
  </sheetData>
  <mergeCells count="3">
    <mergeCell ref="A1:E2"/>
    <mergeCell ref="A15:E15"/>
    <mergeCell ref="A18:E1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tabSelected="1" topLeftCell="A10" zoomScaleNormal="100" zoomScaleSheetLayoutView="85" workbookViewId="0">
      <selection activeCell="K17" sqref="K17"/>
    </sheetView>
  </sheetViews>
  <sheetFormatPr defaultColWidth="41.42578125" defaultRowHeight="11.25" x14ac:dyDescent="0.2"/>
  <cols>
    <col min="1" max="1" width="11.42578125" style="92" customWidth="1"/>
    <col min="2" max="2" width="12.85546875" style="92" bestFit="1" customWidth="1"/>
    <col min="3" max="3" width="12.5703125" style="92" bestFit="1" customWidth="1"/>
    <col min="4" max="4" width="1.5703125" style="92" customWidth="1"/>
    <col min="5" max="5" width="11.140625" style="92" customWidth="1"/>
    <col min="6" max="6" width="12.85546875" style="92" customWidth="1"/>
    <col min="7" max="7" width="12.85546875" style="92" bestFit="1" customWidth="1"/>
    <col min="8" max="8" width="12.5703125" style="92" bestFit="1" customWidth="1"/>
    <col min="9" max="9" width="12.85546875" style="92" bestFit="1" customWidth="1"/>
    <col min="10" max="10" width="12.5703125" style="92" bestFit="1" customWidth="1"/>
    <col min="11" max="16" width="17.42578125" style="92" customWidth="1"/>
    <col min="17" max="16384" width="41.42578125" style="92"/>
  </cols>
  <sheetData>
    <row r="1" spans="1:7" s="156" customFormat="1" ht="12.75" x14ac:dyDescent="0.2">
      <c r="A1" s="155" t="s">
        <v>4</v>
      </c>
      <c r="B1" s="155"/>
      <c r="C1" s="155"/>
      <c r="D1" s="155"/>
    </row>
    <row r="2" spans="1:7" s="156" customFormat="1" ht="12.75" x14ac:dyDescent="0.2">
      <c r="A2" s="155"/>
      <c r="B2" s="155"/>
      <c r="C2" s="155"/>
      <c r="D2" s="155"/>
    </row>
    <row r="3" spans="1:7" s="156" customFormat="1" ht="12.75" x14ac:dyDescent="0.2">
      <c r="A3" s="157" t="s">
        <v>52</v>
      </c>
      <c r="B3" s="157"/>
      <c r="C3" s="157"/>
      <c r="D3" s="157"/>
    </row>
    <row r="4" spans="1:7" s="159" customFormat="1" x14ac:dyDescent="0.2">
      <c r="A4" s="158"/>
      <c r="C4" s="158"/>
    </row>
    <row r="5" spans="1:7" s="96" customFormat="1" ht="12" thickBot="1" x14ac:dyDescent="0.25">
      <c r="A5" s="94" t="s">
        <v>49</v>
      </c>
      <c r="B5" s="95"/>
      <c r="C5" s="95"/>
      <c r="D5" s="93"/>
    </row>
    <row r="6" spans="1:7" s="93" customFormat="1" x14ac:dyDescent="0.2">
      <c r="A6" s="97" t="s">
        <v>6</v>
      </c>
      <c r="B6" s="98"/>
      <c r="C6" s="99">
        <v>2018</v>
      </c>
    </row>
    <row r="7" spans="1:7" s="93" customFormat="1" x14ac:dyDescent="0.2">
      <c r="A7" s="100" t="s">
        <v>1</v>
      </c>
      <c r="B7" s="101"/>
      <c r="C7" s="102"/>
    </row>
    <row r="8" spans="1:7" s="93" customFormat="1" x14ac:dyDescent="0.2">
      <c r="A8" s="103" t="s">
        <v>2</v>
      </c>
      <c r="B8" s="104"/>
      <c r="C8" s="105"/>
    </row>
    <row r="9" spans="1:7" s="93" customFormat="1" ht="12" thickBot="1" x14ac:dyDescent="0.25">
      <c r="B9" s="106"/>
      <c r="C9" s="106"/>
    </row>
    <row r="10" spans="1:7" s="93" customFormat="1" ht="12.75" customHeight="1" x14ac:dyDescent="0.2">
      <c r="A10" s="138"/>
      <c r="B10" s="139"/>
      <c r="C10" s="139"/>
      <c r="D10" s="139"/>
      <c r="E10" s="140"/>
      <c r="F10" s="148" t="s">
        <v>43</v>
      </c>
      <c r="G10" s="149" t="s">
        <v>44</v>
      </c>
    </row>
    <row r="11" spans="1:7" s="93" customFormat="1" x14ac:dyDescent="0.2">
      <c r="A11" s="141" t="str">
        <f>CONCATENATE("Contribuições do Ente + Parcelamentos (Ano: ",A30,")")</f>
        <v>Contribuições do Ente + Parcelamentos (Ano: 2017)</v>
      </c>
      <c r="B11" s="142"/>
      <c r="C11" s="142"/>
      <c r="D11" s="142"/>
      <c r="E11" s="143"/>
      <c r="F11" s="150"/>
      <c r="G11" s="107">
        <f>20%*C30</f>
        <v>4615752.6520000007</v>
      </c>
    </row>
    <row r="12" spans="1:7" s="93" customFormat="1" x14ac:dyDescent="0.2">
      <c r="A12" s="141" t="str">
        <f>CONCATENATE("Despesas do RPPS- Benefícios e Administrativas (Ano: ",A30,")")</f>
        <v>Despesas do RPPS- Benefícios e Administrativas (Ano: 2017)</v>
      </c>
      <c r="B12" s="142"/>
      <c r="C12" s="142"/>
      <c r="D12" s="142"/>
      <c r="E12" s="143"/>
      <c r="F12" s="150"/>
      <c r="G12" s="107">
        <v>2663607.88</v>
      </c>
    </row>
    <row r="13" spans="1:7" s="93" customFormat="1" x14ac:dyDescent="0.2">
      <c r="A13" s="141" t="s">
        <v>41</v>
      </c>
      <c r="B13" s="142"/>
      <c r="C13" s="142"/>
      <c r="D13" s="142"/>
      <c r="E13" s="143"/>
      <c r="F13" s="108">
        <f>C30-G11-IF(G12-G11&gt;0,G12-G11,0)</f>
        <v>18463010.608000003</v>
      </c>
      <c r="G13" s="151"/>
    </row>
    <row r="14" spans="1:7" s="93" customFormat="1" x14ac:dyDescent="0.2">
      <c r="A14" s="141" t="s">
        <v>45</v>
      </c>
      <c r="B14" s="142"/>
      <c r="C14" s="142"/>
      <c r="D14" s="142"/>
      <c r="E14" s="143"/>
      <c r="F14" s="150"/>
      <c r="G14" s="107"/>
    </row>
    <row r="15" spans="1:7" s="93" customFormat="1" x14ac:dyDescent="0.2">
      <c r="A15" s="141" t="s">
        <v>46</v>
      </c>
      <c r="B15" s="142"/>
      <c r="C15" s="142"/>
      <c r="D15" s="142"/>
      <c r="E15" s="143"/>
      <c r="F15" s="150"/>
      <c r="G15" s="107"/>
    </row>
    <row r="16" spans="1:7" s="93" customFormat="1" x14ac:dyDescent="0.2">
      <c r="A16" s="144" t="str">
        <f>CONCATENATE("Média - ",B19)</f>
        <v>Média - RECEITA CORRENTE LÍQUIDA - RCL</v>
      </c>
      <c r="B16" s="142"/>
      <c r="C16" s="142"/>
      <c r="D16" s="142"/>
      <c r="E16" s="143"/>
      <c r="F16" s="154">
        <f>AVERAGE(I20:I30)</f>
        <v>1.7914315497444138E-2</v>
      </c>
      <c r="G16" s="109"/>
    </row>
    <row r="17" spans="1:10" s="93" customFormat="1" ht="12" thickBot="1" x14ac:dyDescent="0.25">
      <c r="A17" s="145" t="str">
        <f>CONCATENATE("Média - ",C19)</f>
        <v>Média - DESPESA LÍQUIDA COM PESSOAL</v>
      </c>
      <c r="B17" s="146"/>
      <c r="C17" s="146"/>
      <c r="D17" s="146"/>
      <c r="E17" s="147"/>
      <c r="F17" s="153">
        <f>AVERAGE(J20:J30)</f>
        <v>1.1820031491735087E-2</v>
      </c>
      <c r="G17" s="152"/>
    </row>
    <row r="18" spans="1:10" ht="12" thickBot="1" x14ac:dyDescent="0.25"/>
    <row r="19" spans="1:10" s="110" customFormat="1" ht="31.5" x14ac:dyDescent="0.2">
      <c r="A19" s="130" t="s">
        <v>5</v>
      </c>
      <c r="B19" s="133" t="s">
        <v>11</v>
      </c>
      <c r="C19" s="134" t="s">
        <v>42</v>
      </c>
      <c r="E19" s="118" t="s">
        <v>50</v>
      </c>
      <c r="F19" s="119" t="s">
        <v>7</v>
      </c>
      <c r="G19" s="119" t="str">
        <f>B19</f>
        <v>RECEITA CORRENTE LÍQUIDA - RCL</v>
      </c>
      <c r="H19" s="120" t="str">
        <f>C19</f>
        <v>DESPESA LÍQUIDA COM PESSOAL</v>
      </c>
      <c r="I19" s="119" t="str">
        <f>G19</f>
        <v>RECEITA CORRENTE LÍQUIDA - RCL</v>
      </c>
      <c r="J19" s="121" t="str">
        <f>H19</f>
        <v>DESPESA LÍQUIDA COM PESSOAL</v>
      </c>
    </row>
    <row r="20" spans="1:10" x14ac:dyDescent="0.2">
      <c r="A20" s="131">
        <f t="shared" ref="A20:A23" si="0">A21-1</f>
        <v>2007</v>
      </c>
      <c r="B20" s="124"/>
      <c r="C20" s="135"/>
      <c r="E20" s="122">
        <v>4.4576585533737195E-2</v>
      </c>
      <c r="F20" s="123"/>
      <c r="G20" s="124">
        <f t="shared" ref="G20:G29" si="1">IFERROR((1+$F21)*B20,"")</f>
        <v>0</v>
      </c>
      <c r="H20" s="124">
        <f t="shared" ref="H20:H29" si="2">IFERROR((1+$F21)*C20,"")</f>
        <v>0</v>
      </c>
      <c r="I20" s="123" t="str">
        <f t="shared" ref="I20:I30" si="3">IFERROR(G20/G19-1,"")</f>
        <v/>
      </c>
      <c r="J20" s="125" t="str">
        <f t="shared" ref="J20:J30" si="4">IFERROR(H20/H19-1,"")</f>
        <v/>
      </c>
    </row>
    <row r="21" spans="1:10" x14ac:dyDescent="0.2">
      <c r="A21" s="131">
        <f t="shared" si="0"/>
        <v>2008</v>
      </c>
      <c r="B21" s="136"/>
      <c r="C21" s="137"/>
      <c r="E21" s="122">
        <v>5.9027243906546498E-2</v>
      </c>
      <c r="F21" s="123">
        <f t="shared" ref="F21:F29" si="5">IF(E21="","",((1+F22)*(1+E21))-1)</f>
        <v>0.79987814482786046</v>
      </c>
      <c r="G21" s="124">
        <f t="shared" si="1"/>
        <v>0</v>
      </c>
      <c r="H21" s="124">
        <f t="shared" si="2"/>
        <v>0</v>
      </c>
      <c r="I21" s="123" t="str">
        <f t="shared" si="3"/>
        <v/>
      </c>
      <c r="J21" s="125" t="str">
        <f t="shared" si="4"/>
        <v/>
      </c>
    </row>
    <row r="22" spans="1:10" x14ac:dyDescent="0.2">
      <c r="A22" s="131">
        <f t="shared" si="0"/>
        <v>2009</v>
      </c>
      <c r="B22" s="136"/>
      <c r="C22" s="137"/>
      <c r="E22" s="122">
        <v>4.31165006256784E-2</v>
      </c>
      <c r="F22" s="123">
        <f t="shared" si="5"/>
        <v>0.69955792467477851</v>
      </c>
      <c r="G22" s="124">
        <f t="shared" si="1"/>
        <v>0</v>
      </c>
      <c r="H22" s="124">
        <f t="shared" si="2"/>
        <v>0</v>
      </c>
      <c r="I22" s="123" t="str">
        <f t="shared" si="3"/>
        <v/>
      </c>
      <c r="J22" s="125" t="str">
        <f t="shared" si="4"/>
        <v/>
      </c>
    </row>
    <row r="23" spans="1:10" x14ac:dyDescent="0.2">
      <c r="A23" s="131">
        <f t="shared" si="0"/>
        <v>2010</v>
      </c>
      <c r="B23" s="136"/>
      <c r="C23" s="137"/>
      <c r="E23" s="122">
        <v>5.9086887217945298E-2</v>
      </c>
      <c r="F23" s="123">
        <f t="shared" si="5"/>
        <v>0.62930787084218864</v>
      </c>
      <c r="G23" s="124">
        <f t="shared" si="1"/>
        <v>0</v>
      </c>
      <c r="H23" s="124">
        <f t="shared" si="2"/>
        <v>0</v>
      </c>
      <c r="I23" s="123" t="str">
        <f t="shared" si="3"/>
        <v/>
      </c>
      <c r="J23" s="125" t="str">
        <f t="shared" si="4"/>
        <v/>
      </c>
    </row>
    <row r="24" spans="1:10" x14ac:dyDescent="0.2">
      <c r="A24" s="131">
        <f t="shared" ref="A24:A29" si="6">A25-1</f>
        <v>2011</v>
      </c>
      <c r="B24" s="111">
        <v>27472564.329999998</v>
      </c>
      <c r="C24" s="112">
        <v>14914229.888679374</v>
      </c>
      <c r="E24" s="122">
        <v>6.50335274368017E-2</v>
      </c>
      <c r="F24" s="123">
        <f t="shared" si="5"/>
        <v>0.53840812355077317</v>
      </c>
      <c r="G24" s="124">
        <f t="shared" si="1"/>
        <v>39683272.921707258</v>
      </c>
      <c r="H24" s="124">
        <f t="shared" si="2"/>
        <v>21543145.662716784</v>
      </c>
      <c r="I24" s="123" t="str">
        <f t="shared" si="3"/>
        <v/>
      </c>
      <c r="J24" s="125" t="str">
        <f t="shared" si="4"/>
        <v/>
      </c>
    </row>
    <row r="25" spans="1:10" x14ac:dyDescent="0.2">
      <c r="A25" s="131">
        <f t="shared" si="6"/>
        <v>2012</v>
      </c>
      <c r="B25" s="111">
        <v>32390990.210000001</v>
      </c>
      <c r="C25" s="112">
        <v>16091111.34823858</v>
      </c>
      <c r="E25" s="122">
        <v>5.8385947181474496E-2</v>
      </c>
      <c r="F25" s="123">
        <f t="shared" si="5"/>
        <v>0.44446919643293681</v>
      </c>
      <c r="G25" s="124">
        <f t="shared" si="1"/>
        <v>44206735.47764276</v>
      </c>
      <c r="H25" s="124">
        <f t="shared" si="2"/>
        <v>21960906.36010471</v>
      </c>
      <c r="I25" s="123">
        <f t="shared" si="3"/>
        <v>0.11398915016057343</v>
      </c>
      <c r="J25" s="125">
        <f t="shared" si="4"/>
        <v>1.9391815101121201E-2</v>
      </c>
    </row>
    <row r="26" spans="1:10" x14ac:dyDescent="0.2">
      <c r="A26" s="131">
        <f t="shared" si="6"/>
        <v>2013</v>
      </c>
      <c r="B26" s="111">
        <v>32485716.280000001</v>
      </c>
      <c r="C26" s="112">
        <v>17361219.782879867</v>
      </c>
      <c r="E26" s="122">
        <v>5.9106829999999999E-2</v>
      </c>
      <c r="F26" s="123">
        <f t="shared" si="5"/>
        <v>0.36478493528718703</v>
      </c>
      <c r="G26" s="124">
        <f t="shared" si="1"/>
        <v>41861703.593166061</v>
      </c>
      <c r="H26" s="124">
        <f t="shared" si="2"/>
        <v>22371993.595664311</v>
      </c>
      <c r="I26" s="123">
        <f t="shared" si="3"/>
        <v>-5.3046936380603871E-2</v>
      </c>
      <c r="J26" s="125">
        <f t="shared" si="4"/>
        <v>1.8719046874422496E-2</v>
      </c>
    </row>
    <row r="27" spans="1:10" x14ac:dyDescent="0.2">
      <c r="A27" s="131">
        <f t="shared" si="6"/>
        <v>2014</v>
      </c>
      <c r="B27" s="111">
        <v>37357925.119999997</v>
      </c>
      <c r="C27" s="112">
        <v>18636643.179304667</v>
      </c>
      <c r="E27" s="122">
        <v>6.4074707960000005E-2</v>
      </c>
      <c r="F27" s="123">
        <f t="shared" si="5"/>
        <v>0.28861876500899064</v>
      </c>
      <c r="G27" s="124">
        <f t="shared" si="1"/>
        <v>45241300.231376618</v>
      </c>
      <c r="H27" s="124">
        <f t="shared" si="2"/>
        <v>22569400.379481237</v>
      </c>
      <c r="I27" s="123">
        <f t="shared" si="3"/>
        <v>8.0732420043275077E-2</v>
      </c>
      <c r="J27" s="125">
        <f t="shared" si="4"/>
        <v>8.8238351657308201E-3</v>
      </c>
    </row>
    <row r="28" spans="1:10" x14ac:dyDescent="0.2">
      <c r="A28" s="131">
        <f t="shared" si="6"/>
        <v>2015</v>
      </c>
      <c r="B28" s="111">
        <v>39824737.240000002</v>
      </c>
      <c r="C28" s="112">
        <v>19974367.064299583</v>
      </c>
      <c r="E28" s="122">
        <v>0.10673028130000001</v>
      </c>
      <c r="F28" s="123">
        <f t="shared" si="5"/>
        <v>0.21102283079303463</v>
      </c>
      <c r="G28" s="124">
        <f t="shared" si="1"/>
        <v>43577614.92829372</v>
      </c>
      <c r="H28" s="124">
        <f t="shared" si="2"/>
        <v>21856648.321841881</v>
      </c>
      <c r="I28" s="123">
        <f t="shared" si="3"/>
        <v>-3.6773596129517694E-2</v>
      </c>
      <c r="J28" s="125">
        <f t="shared" si="4"/>
        <v>-3.1580460519781806E-2</v>
      </c>
    </row>
    <row r="29" spans="1:10" x14ac:dyDescent="0.2">
      <c r="A29" s="131">
        <f t="shared" si="6"/>
        <v>2016</v>
      </c>
      <c r="B29" s="111">
        <v>43150274.399999999</v>
      </c>
      <c r="C29" s="112">
        <v>21383641.405999631</v>
      </c>
      <c r="E29" s="122">
        <v>6.2879882132213849E-2</v>
      </c>
      <c r="F29" s="123">
        <f t="shared" si="5"/>
        <v>9.4234838655114173E-2</v>
      </c>
      <c r="G29" s="124">
        <f t="shared" si="1"/>
        <v>44423207.494800001</v>
      </c>
      <c r="H29" s="124">
        <f t="shared" si="2"/>
        <v>22014458.827476621</v>
      </c>
      <c r="I29" s="123">
        <f t="shared" si="3"/>
        <v>1.9404287451199265E-2</v>
      </c>
      <c r="J29" s="125">
        <f t="shared" si="4"/>
        <v>7.220251857053217E-3</v>
      </c>
    </row>
    <row r="30" spans="1:10" ht="12" thickBot="1" x14ac:dyDescent="0.25">
      <c r="A30" s="132">
        <f>C6-1</f>
        <v>2017</v>
      </c>
      <c r="B30" s="113">
        <v>43676034.369999997</v>
      </c>
      <c r="C30" s="114">
        <v>23078763.260000002</v>
      </c>
      <c r="E30" s="126">
        <v>2.9500000000000002E-2</v>
      </c>
      <c r="F30" s="127">
        <f>IF(E30="","",((1+D31)*(1+E30))-1)</f>
        <v>2.9500000000000082E-2</v>
      </c>
      <c r="G30" s="128">
        <f>IFERROR((1+$D31)*B30,"")</f>
        <v>43676034.369999997</v>
      </c>
      <c r="H30" s="128">
        <f>IFERROR((1+$D31)*C30,"")</f>
        <v>23078763.260000002</v>
      </c>
      <c r="I30" s="127">
        <f t="shared" si="3"/>
        <v>-1.6819432160261383E-2</v>
      </c>
      <c r="J30" s="129">
        <f t="shared" si="4"/>
        <v>4.8345700471864594E-2</v>
      </c>
    </row>
    <row r="31" spans="1:10" s="116" customFormat="1" x14ac:dyDescent="0.2">
      <c r="A31" s="115"/>
    </row>
    <row r="32" spans="1:10" s="116" customFormat="1" x14ac:dyDescent="0.2"/>
    <row r="33" s="116" customFormat="1" x14ac:dyDescent="0.2"/>
    <row r="34" s="116" customFormat="1" x14ac:dyDescent="0.2"/>
    <row r="35" s="116" customFormat="1" x14ac:dyDescent="0.2"/>
    <row r="36" s="116" customFormat="1" x14ac:dyDescent="0.2"/>
    <row r="37" s="116" customFormat="1" x14ac:dyDescent="0.2"/>
    <row r="38" s="116" customFormat="1" x14ac:dyDescent="0.2"/>
    <row r="39" s="116" customFormat="1" x14ac:dyDescent="0.2"/>
    <row r="40" s="116" customFormat="1" x14ac:dyDescent="0.2"/>
    <row r="41" s="116" customFormat="1" x14ac:dyDescent="0.2"/>
    <row r="42" s="116" customFormat="1" x14ac:dyDescent="0.2"/>
    <row r="43" s="116" customFormat="1" x14ac:dyDescent="0.2"/>
    <row r="44" s="116" customFormat="1" x14ac:dyDescent="0.2"/>
    <row r="45" s="116" customFormat="1" x14ac:dyDescent="0.2"/>
    <row r="46" s="116" customFormat="1" x14ac:dyDescent="0.2"/>
    <row r="47" s="116" customFormat="1" x14ac:dyDescent="0.2"/>
    <row r="48" s="116" customFormat="1" x14ac:dyDescent="0.2"/>
    <row r="49" s="116" customFormat="1" x14ac:dyDescent="0.2"/>
    <row r="50" s="116" customFormat="1" x14ac:dyDescent="0.2"/>
    <row r="51" s="116" customFormat="1" x14ac:dyDescent="0.2"/>
    <row r="52" s="116" customFormat="1" x14ac:dyDescent="0.2"/>
    <row r="53" s="116" customFormat="1" x14ac:dyDescent="0.2"/>
    <row r="54" s="116" customFormat="1" x14ac:dyDescent="0.2"/>
    <row r="55" s="116" customFormat="1" x14ac:dyDescent="0.2"/>
    <row r="56" s="116" customFormat="1" x14ac:dyDescent="0.2"/>
    <row r="69" s="117" customFormat="1" x14ac:dyDescent="0.2"/>
  </sheetData>
  <sheetProtection password="CE8C" sheet="1" objects="1" scenarios="1"/>
  <mergeCells count="2">
    <mergeCell ref="A10:E10"/>
    <mergeCell ref="A6:B6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9"/>
  <sheetViews>
    <sheetView showGridLines="0" zoomScaleNormal="100" zoomScaleSheetLayoutView="85" workbookViewId="0">
      <selection sqref="A1:XFD1048576"/>
    </sheetView>
  </sheetViews>
  <sheetFormatPr defaultColWidth="19" defaultRowHeight="11.25" x14ac:dyDescent="0.2"/>
  <cols>
    <col min="1" max="1" width="6.28515625" style="24" customWidth="1"/>
    <col min="2" max="2" width="4.85546875" style="24" customWidth="1"/>
    <col min="3" max="3" width="13.7109375" style="24" customWidth="1"/>
    <col min="4" max="4" width="14.28515625" style="24" customWidth="1"/>
    <col min="5" max="6" width="15.42578125" style="24" customWidth="1"/>
    <col min="7" max="7" width="14.28515625" style="24" customWidth="1"/>
    <col min="8" max="9" width="14.7109375" style="24" customWidth="1"/>
    <col min="10" max="10" width="19.42578125" style="24" customWidth="1"/>
    <col min="11" max="11" width="17.28515625" style="24" customWidth="1"/>
    <col min="12" max="12" width="14.7109375" style="24" customWidth="1"/>
    <col min="13" max="13" width="14.42578125" style="24" customWidth="1"/>
    <col min="14" max="14" width="19" style="39"/>
    <col min="15" max="16384" width="19" style="24"/>
  </cols>
  <sheetData>
    <row r="1" spans="1:24" s="22" customFormat="1" x14ac:dyDescent="0.2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41"/>
    </row>
    <row r="2" spans="1:24" s="22" customFormat="1" ht="6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41"/>
    </row>
    <row r="3" spans="1:24" s="22" customFormat="1" x14ac:dyDescent="0.2">
      <c r="A3" s="23" t="s">
        <v>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41"/>
    </row>
    <row r="4" spans="1:24" s="22" customFormat="1" x14ac:dyDescent="0.2">
      <c r="A4" s="24"/>
      <c r="B4" s="24"/>
      <c r="C4" s="24"/>
      <c r="D4" s="24"/>
      <c r="G4" s="24"/>
      <c r="N4" s="41"/>
    </row>
    <row r="5" spans="1:24" s="36" customFormat="1" ht="16.5" customHeight="1" x14ac:dyDescent="0.15">
      <c r="A5" s="36" t="s">
        <v>0</v>
      </c>
      <c r="C5" s="36">
        <f>'01- Histórico'!B5</f>
        <v>0</v>
      </c>
      <c r="D5" s="28"/>
      <c r="E5" s="28"/>
      <c r="F5" s="28"/>
      <c r="G5" s="28"/>
      <c r="H5" s="27"/>
      <c r="I5" s="27"/>
      <c r="J5" s="27"/>
      <c r="K5" s="27"/>
      <c r="L5" s="27"/>
      <c r="M5" s="27"/>
      <c r="N5" s="42"/>
    </row>
    <row r="6" spans="1:24" s="36" customFormat="1" ht="16.5" customHeight="1" x14ac:dyDescent="0.15">
      <c r="D6" s="28"/>
      <c r="E6" s="28"/>
      <c r="F6" s="28"/>
      <c r="G6" s="28"/>
      <c r="H6" s="27"/>
      <c r="I6" s="27"/>
      <c r="J6" s="27"/>
      <c r="K6" s="27"/>
      <c r="L6" s="27"/>
      <c r="M6" s="27"/>
      <c r="N6" s="42"/>
    </row>
    <row r="7" spans="1:24" s="25" customFormat="1" ht="12.75" customHeight="1" x14ac:dyDescent="0.2">
      <c r="A7" s="89" t="s">
        <v>40</v>
      </c>
      <c r="B7" s="89"/>
      <c r="C7" s="89"/>
      <c r="D7" s="89"/>
      <c r="E7" s="89"/>
      <c r="F7" s="89"/>
      <c r="G7" s="40">
        <f>'01- Histórico'!G14+'01- Histórico'!G15/'01- Histórico'!B30</f>
        <v>0</v>
      </c>
      <c r="N7" s="39"/>
      <c r="O7" s="26"/>
      <c r="R7" s="34"/>
      <c r="S7" s="34"/>
      <c r="T7" s="24"/>
      <c r="U7" s="24"/>
      <c r="V7" s="24"/>
      <c r="X7" s="24"/>
    </row>
    <row r="8" spans="1:24" ht="12" thickBot="1" x14ac:dyDescent="0.25"/>
    <row r="9" spans="1:24" s="29" customFormat="1" ht="42" x14ac:dyDescent="0.2">
      <c r="A9" s="44" t="s">
        <v>5</v>
      </c>
      <c r="B9" s="45" t="s">
        <v>8</v>
      </c>
      <c r="C9" s="46" t="str">
        <f>'01- Histórico'!B19</f>
        <v>RECEITA CORRENTE LÍQUIDA - RCL</v>
      </c>
      <c r="D9" s="47" t="s">
        <v>41</v>
      </c>
      <c r="E9" s="48" t="s">
        <v>13</v>
      </c>
      <c r="F9" s="48" t="s">
        <v>18</v>
      </c>
      <c r="G9" s="49" t="s">
        <v>12</v>
      </c>
      <c r="H9" s="46" t="s">
        <v>14</v>
      </c>
      <c r="I9" s="46" t="s">
        <v>15</v>
      </c>
      <c r="J9" s="46" t="s">
        <v>48</v>
      </c>
      <c r="K9" s="46" t="s">
        <v>16</v>
      </c>
      <c r="L9" s="46" t="s">
        <v>17</v>
      </c>
      <c r="M9" s="50" t="s">
        <v>47</v>
      </c>
      <c r="N9" s="43"/>
    </row>
    <row r="10" spans="1:24" s="34" customFormat="1" x14ac:dyDescent="0.2">
      <c r="A10" s="30">
        <f>'01- Histórico'!A30</f>
        <v>2017</v>
      </c>
      <c r="B10" s="51">
        <v>0</v>
      </c>
      <c r="C10" s="37">
        <f>'01- Histórico'!B30</f>
        <v>43676034.369999997</v>
      </c>
      <c r="D10" s="37">
        <f>'01- Histórico'!F13</f>
        <v>18463010.608000003</v>
      </c>
      <c r="E10" s="37">
        <v>10748548.59</v>
      </c>
      <c r="F10" s="37">
        <v>2255972.7734400001</v>
      </c>
      <c r="G10" s="37">
        <f>15%*E10</f>
        <v>1612282.2885</v>
      </c>
      <c r="H10" s="52">
        <v>971668.79253599991</v>
      </c>
      <c r="I10" s="52">
        <v>0</v>
      </c>
      <c r="J10" s="52">
        <v>0</v>
      </c>
      <c r="K10" s="52">
        <v>983475.44036000001</v>
      </c>
      <c r="L10" s="52">
        <f>D10+G10+H10+I10+J10+IF(AND(K10&lt;0,M10&lt;=0),K10*-1,0)</f>
        <v>21046961.689036004</v>
      </c>
      <c r="M10" s="38">
        <v>22187748</v>
      </c>
      <c r="N10" s="31"/>
    </row>
    <row r="11" spans="1:24" x14ac:dyDescent="0.2">
      <c r="A11" s="30">
        <f>A10+1</f>
        <v>2018</v>
      </c>
      <c r="B11" s="51">
        <f>B10+1</f>
        <v>1</v>
      </c>
      <c r="C11" s="37">
        <f>C10*(1+IF('01- Histórico'!$G$16="",'01- Histórico'!$F$16,IF('01- Histórico'!$G$16&lt;'01- Histórico'!$F$16,'01- Histórico'!$G$16,'01- Histórico'!$F$16)))</f>
        <v>44458460.629381388</v>
      </c>
      <c r="D11" s="37">
        <f>D10*(1+'01- Histórico'!$F$17)</f>
        <v>18681243.974818803</v>
      </c>
      <c r="E11" s="37">
        <v>10061444.25</v>
      </c>
      <c r="F11" s="37">
        <v>2743242.6426900001</v>
      </c>
      <c r="G11" s="37">
        <f t="shared" ref="G11:G45" si="0">15%*E11</f>
        <v>1509216.6375</v>
      </c>
      <c r="H11" s="37">
        <v>1097703.5676750001</v>
      </c>
      <c r="I11" s="37">
        <f ca="1">I10*(1.01+RAND()/100)</f>
        <v>0</v>
      </c>
      <c r="J11" s="52">
        <v>0</v>
      </c>
      <c r="K11" s="52">
        <v>821489.22210999997</v>
      </c>
      <c r="L11" s="52">
        <f t="shared" ref="L11:L45" ca="1" si="1">D11+G11+H11+I11+J11+IF(AND(K11&lt;0,M11&lt;=0),K11*-1,0)</f>
        <v>21288164.179993801</v>
      </c>
      <c r="M11" s="38">
        <v>24561496.846779998</v>
      </c>
      <c r="N11" s="31"/>
    </row>
    <row r="12" spans="1:24" x14ac:dyDescent="0.2">
      <c r="A12" s="30">
        <f t="shared" ref="A12:B27" si="2">A11+1</f>
        <v>2019</v>
      </c>
      <c r="B12" s="51">
        <f t="shared" si="2"/>
        <v>2</v>
      </c>
      <c r="C12" s="37">
        <f>C11*(1+IF('01- Histórico'!$G$16="",'01- Histórico'!$F$16,IF('01- Histórico'!$G$16&lt;'01- Histórico'!$F$16,'01- Histórico'!$G$16,'01- Histórico'!$F$16)))</f>
        <v>45254903.519626826</v>
      </c>
      <c r="D12" s="37">
        <f>D11*(1+'01- Histórico'!$F$17)</f>
        <v>18902056.86690595</v>
      </c>
      <c r="E12" s="37">
        <v>10162058.692500001</v>
      </c>
      <c r="F12" s="37">
        <v>3375561.15869</v>
      </c>
      <c r="G12" s="37">
        <f t="shared" si="0"/>
        <v>1524308.803875</v>
      </c>
      <c r="H12" s="37">
        <v>1297694.8950322501</v>
      </c>
      <c r="I12" s="37">
        <f t="shared" ref="I12:I45" ca="1" si="3">I11*(1.01+RAND()/100)</f>
        <v>0</v>
      </c>
      <c r="J12" s="52">
        <v>0</v>
      </c>
      <c r="K12" s="52">
        <v>448050.96788000001</v>
      </c>
      <c r="L12" s="52">
        <f t="shared" ca="1" si="1"/>
        <v>21724060.565813199</v>
      </c>
      <c r="M12" s="38">
        <v>26905965.23302</v>
      </c>
      <c r="N12" s="31"/>
    </row>
    <row r="13" spans="1:24" x14ac:dyDescent="0.2">
      <c r="A13" s="30">
        <f t="shared" si="2"/>
        <v>2020</v>
      </c>
      <c r="B13" s="51">
        <f t="shared" si="2"/>
        <v>3</v>
      </c>
      <c r="C13" s="37">
        <f>C12*(1+IF('01- Histórico'!$G$16="",'01- Histórico'!$F$16,IF('01- Histórico'!$G$16&lt;'01- Histórico'!$F$16,'01- Histórico'!$G$16,'01- Histórico'!$F$16)))</f>
        <v>46065614.139083818</v>
      </c>
      <c r="D13" s="37">
        <f>D12*(1+'01- Histórico'!$F$17)</f>
        <v>19125479.774331346</v>
      </c>
      <c r="E13" s="37">
        <v>10263679.279425001</v>
      </c>
      <c r="F13" s="37">
        <v>3690004.1163499998</v>
      </c>
      <c r="G13" s="37">
        <f t="shared" si="0"/>
        <v>1539551.89191375</v>
      </c>
      <c r="H13" s="37">
        <v>1502602.6465078201</v>
      </c>
      <c r="I13" s="37">
        <f t="shared" ca="1" si="3"/>
        <v>0</v>
      </c>
      <c r="J13" s="52">
        <v>0</v>
      </c>
      <c r="K13" s="52">
        <v>436405.87767000002</v>
      </c>
      <c r="L13" s="52">
        <f t="shared" ca="1" si="1"/>
        <v>22167634.312752917</v>
      </c>
      <c r="M13" s="38">
        <v>28995257.17295</v>
      </c>
      <c r="N13" s="31"/>
    </row>
    <row r="14" spans="1:24" x14ac:dyDescent="0.2">
      <c r="A14" s="30">
        <f t="shared" si="2"/>
        <v>2021</v>
      </c>
      <c r="B14" s="51">
        <f t="shared" si="2"/>
        <v>4</v>
      </c>
      <c r="C14" s="37">
        <f>C13*(1+IF('01- Histórico'!$G$16="",'01- Histórico'!$F$16,IF('01- Histórico'!$G$16&lt;'01- Histórico'!$F$16,'01- Histórico'!$G$16,'01- Histórico'!$F$16)))</f>
        <v>46890848.084354892</v>
      </c>
      <c r="D14" s="37">
        <f>D13*(1+'01- Histórico'!$F$17)</f>
        <v>19351543.547558486</v>
      </c>
      <c r="E14" s="37">
        <v>10366316.072219251</v>
      </c>
      <c r="F14" s="37">
        <v>4035748.1553400001</v>
      </c>
      <c r="G14" s="37">
        <f t="shared" si="0"/>
        <v>1554947.4108328875</v>
      </c>
      <c r="H14" s="37">
        <v>1711478.7835233982</v>
      </c>
      <c r="I14" s="37">
        <f t="shared" ca="1" si="3"/>
        <v>0</v>
      </c>
      <c r="J14" s="52">
        <v>0</v>
      </c>
      <c r="K14" s="52">
        <v>357193.31270000001</v>
      </c>
      <c r="L14" s="52">
        <f t="shared" ca="1" si="1"/>
        <v>22617969.741914775</v>
      </c>
      <c r="M14" s="38">
        <v>31197562.833659999</v>
      </c>
      <c r="N14" s="31"/>
    </row>
    <row r="15" spans="1:24" x14ac:dyDescent="0.2">
      <c r="A15" s="30">
        <f t="shared" si="2"/>
        <v>2022</v>
      </c>
      <c r="B15" s="51">
        <f t="shared" si="2"/>
        <v>5</v>
      </c>
      <c r="C15" s="37">
        <f>C14*(1+IF('01- Histórico'!$G$16="",'01- Histórico'!$F$16,IF('01- Histórico'!$G$16&lt;'01- Histórico'!$F$16,'01- Histórico'!$G$16,'01- Histórico'!$F$16)))</f>
        <v>47730865.530880749</v>
      </c>
      <c r="D15" s="37">
        <f>D14*(1+'01- Histórico'!$F$17)</f>
        <v>19580279.401704311</v>
      </c>
      <c r="E15" s="37">
        <v>10469979.232941443</v>
      </c>
      <c r="F15" s="37">
        <v>4390097.91182</v>
      </c>
      <c r="G15" s="37">
        <f t="shared" si="0"/>
        <v>1570496.8849412163</v>
      </c>
      <c r="H15" s="37">
        <v>1924382.1830146371</v>
      </c>
      <c r="I15" s="37">
        <f t="shared" ca="1" si="3"/>
        <v>0</v>
      </c>
      <c r="J15" s="52">
        <v>0</v>
      </c>
      <c r="K15" s="52">
        <v>240449.18301000001</v>
      </c>
      <c r="L15" s="52">
        <f t="shared" ca="1" si="1"/>
        <v>23075158.469660167</v>
      </c>
      <c r="M15" s="38">
        <v>33448041.515140001</v>
      </c>
      <c r="N15" s="31"/>
    </row>
    <row r="16" spans="1:24" x14ac:dyDescent="0.2">
      <c r="A16" s="30">
        <f t="shared" si="2"/>
        <v>2023</v>
      </c>
      <c r="B16" s="51">
        <f t="shared" si="2"/>
        <v>6</v>
      </c>
      <c r="C16" s="37">
        <f>C15*(1+IF('01- Histórico'!$G$16="",'01- Histórico'!$F$16,IF('01- Histórico'!$G$16&lt;'01- Histórico'!$F$16,'01- Histórico'!$G$16,'01- Histórico'!$F$16)))</f>
        <v>48585931.314967029</v>
      </c>
      <c r="D16" s="37">
        <f>D15*(1+'01- Histórico'!$F$17)</f>
        <v>19811718.920849431</v>
      </c>
      <c r="E16" s="37">
        <v>10574679.025270857</v>
      </c>
      <c r="F16" s="37">
        <v>4590005.8944800003</v>
      </c>
      <c r="G16" s="37">
        <f t="shared" si="0"/>
        <v>1586201.8537906285</v>
      </c>
      <c r="H16" s="37">
        <v>2140315.0347148213</v>
      </c>
      <c r="I16" s="37">
        <f t="shared" ca="1" si="3"/>
        <v>0</v>
      </c>
      <c r="J16" s="52">
        <v>0</v>
      </c>
      <c r="K16" s="52">
        <v>307187.65104999999</v>
      </c>
      <c r="L16" s="52">
        <f t="shared" ca="1" si="1"/>
        <v>23538235.809354883</v>
      </c>
      <c r="M16" s="38">
        <v>35709800.140040003</v>
      </c>
      <c r="N16" s="31"/>
    </row>
    <row r="17" spans="1:14" x14ac:dyDescent="0.2">
      <c r="A17" s="30">
        <f t="shared" si="2"/>
        <v>2024</v>
      </c>
      <c r="B17" s="51">
        <f t="shared" si="2"/>
        <v>7</v>
      </c>
      <c r="C17" s="37">
        <f>C16*(1+IF('01- Histórico'!$G$16="",'01- Histórico'!$F$16,IF('01- Histórico'!$G$16&lt;'01- Histórico'!$F$16,'01- Histórico'!$G$16,'01- Histórico'!$F$16)))</f>
        <v>49456315.017280497</v>
      </c>
      <c r="D17" s="37">
        <f>D16*(1+'01- Histórico'!$F$17)</f>
        <v>20045894.062399276</v>
      </c>
      <c r="E17" s="37">
        <v>10680425.815523565</v>
      </c>
      <c r="F17" s="37">
        <v>4900770.7176400004</v>
      </c>
      <c r="G17" s="37">
        <f t="shared" si="0"/>
        <v>1602063.8723285347</v>
      </c>
      <c r="H17" s="37">
        <v>2361442.1478122603</v>
      </c>
      <c r="I17" s="37">
        <f t="shared" ca="1" si="3"/>
        <v>0</v>
      </c>
      <c r="J17" s="52">
        <v>0</v>
      </c>
      <c r="K17" s="52">
        <v>202016.78069000001</v>
      </c>
      <c r="L17" s="52">
        <f t="shared" ca="1" si="1"/>
        <v>24009400.082540073</v>
      </c>
      <c r="M17" s="38">
        <v>38178007.058559999</v>
      </c>
      <c r="N17" s="31"/>
    </row>
    <row r="18" spans="1:14" x14ac:dyDescent="0.2">
      <c r="A18" s="30">
        <f t="shared" si="2"/>
        <v>2025</v>
      </c>
      <c r="B18" s="51">
        <f t="shared" si="2"/>
        <v>8</v>
      </c>
      <c r="C18" s="37">
        <f>C17*(1+IF('01- Histórico'!$G$16="",'01- Histórico'!$F$16,IF('01- Histórico'!$G$16&lt;'01- Histórico'!$F$16,'01- Histórico'!$G$16,'01- Histórico'!$F$16)))</f>
        <v>50342291.047841042</v>
      </c>
      <c r="D18" s="37">
        <f>D17*(1+'01- Histórico'!$F$17)</f>
        <v>20282837.161496822</v>
      </c>
      <c r="E18" s="37">
        <v>10787230.073678801</v>
      </c>
      <c r="F18" s="37">
        <v>5395836.9666799996</v>
      </c>
      <c r="G18" s="37">
        <f t="shared" si="0"/>
        <v>1618084.5110518201</v>
      </c>
      <c r="H18" s="37">
        <v>2586777.7716681766</v>
      </c>
      <c r="I18" s="37">
        <f t="shared" ca="1" si="3"/>
        <v>0</v>
      </c>
      <c r="J18" s="52">
        <v>0</v>
      </c>
      <c r="K18" s="52">
        <v>-198317.86280999999</v>
      </c>
      <c r="L18" s="52">
        <f t="shared" ca="1" si="1"/>
        <v>24487699.444216818</v>
      </c>
      <c r="M18" s="38">
        <v>40682825.269610003</v>
      </c>
      <c r="N18" s="31"/>
    </row>
    <row r="19" spans="1:14" x14ac:dyDescent="0.2">
      <c r="A19" s="30">
        <f t="shared" si="2"/>
        <v>2026</v>
      </c>
      <c r="B19" s="51">
        <f t="shared" si="2"/>
        <v>9</v>
      </c>
      <c r="C19" s="37">
        <f>C18*(1+IF('01- Histórico'!$G$16="",'01- Histórico'!$F$16,IF('01- Histórico'!$G$16&lt;'01- Histórico'!$F$16,'01- Histórico'!$G$16,'01- Histórico'!$F$16)))</f>
        <v>51244138.732536227</v>
      </c>
      <c r="D19" s="37">
        <f>D18*(1+'01- Histórico'!$F$17)</f>
        <v>20522580.935487449</v>
      </c>
      <c r="E19" s="37">
        <v>10895102.374415589</v>
      </c>
      <c r="F19" s="37">
        <v>5693446.6961099999</v>
      </c>
      <c r="G19" s="37">
        <f t="shared" si="0"/>
        <v>1634265.3561623383</v>
      </c>
      <c r="H19" s="37">
        <v>2816383.9637864302</v>
      </c>
      <c r="I19" s="37">
        <f t="shared" ca="1" si="3"/>
        <v>0</v>
      </c>
      <c r="J19" s="52">
        <v>0</v>
      </c>
      <c r="K19" s="52">
        <v>-344138.84476000001</v>
      </c>
      <c r="L19" s="52">
        <f t="shared" ca="1" si="1"/>
        <v>24973230.255436219</v>
      </c>
      <c r="M19" s="38">
        <v>42913577.851209998</v>
      </c>
      <c r="N19" s="31"/>
    </row>
    <row r="20" spans="1:14" x14ac:dyDescent="0.2">
      <c r="A20" s="30">
        <f t="shared" si="2"/>
        <v>2027</v>
      </c>
      <c r="B20" s="51">
        <f t="shared" si="2"/>
        <v>10</v>
      </c>
      <c r="C20" s="37">
        <f>C19*(1+IF('01- Histórico'!$G$16="",'01- Histórico'!$F$16,IF('01- Histórico'!$G$16&lt;'01- Histórico'!$F$16,'01- Histórico'!$G$16,'01- Histórico'!$F$16)))</f>
        <v>52162142.401185676</v>
      </c>
      <c r="D20" s="37">
        <f>D19*(1+'01- Histórico'!$F$17)</f>
        <v>20765158.488436595</v>
      </c>
      <c r="E20" s="37">
        <v>11004053.398159746</v>
      </c>
      <c r="F20" s="37">
        <v>5862707.1332599996</v>
      </c>
      <c r="G20" s="37">
        <f t="shared" si="0"/>
        <v>1650608.0097239618</v>
      </c>
      <c r="H20" s="37">
        <v>3049223.1966300658</v>
      </c>
      <c r="I20" s="37">
        <f t="shared" ca="1" si="3"/>
        <v>0</v>
      </c>
      <c r="J20" s="52">
        <v>0</v>
      </c>
      <c r="K20" s="52">
        <v>-325812.51893999998</v>
      </c>
      <c r="L20" s="52">
        <f t="shared" ca="1" si="1"/>
        <v>25464989.69479062</v>
      </c>
      <c r="M20" s="38">
        <v>45123605.346840002</v>
      </c>
      <c r="N20" s="31"/>
    </row>
    <row r="21" spans="1:14" x14ac:dyDescent="0.2">
      <c r="A21" s="30">
        <f t="shared" si="2"/>
        <v>2028</v>
      </c>
      <c r="B21" s="51">
        <f t="shared" si="2"/>
        <v>11</v>
      </c>
      <c r="C21" s="37">
        <f>C20*(1+IF('01- Histórico'!$G$16="",'01- Histórico'!$F$16,IF('01- Histórico'!$G$16&lt;'01- Histórico'!$F$16,'01- Histórico'!$G$16,'01- Histórico'!$F$16)))</f>
        <v>53096591.477183126</v>
      </c>
      <c r="D21" s="37">
        <f>D20*(1+'01- Histórico'!$F$17)</f>
        <v>21010603.315700788</v>
      </c>
      <c r="E21" s="37">
        <v>11114093.932141343</v>
      </c>
      <c r="F21" s="37">
        <v>6183811.6881299997</v>
      </c>
      <c r="G21" s="37">
        <f t="shared" si="0"/>
        <v>1667114.0898212015</v>
      </c>
      <c r="H21" s="37">
        <v>3287548.9851274095</v>
      </c>
      <c r="I21" s="37">
        <f t="shared" ca="1" si="3"/>
        <v>0</v>
      </c>
      <c r="J21" s="52">
        <v>0</v>
      </c>
      <c r="K21" s="52">
        <v>-632835.29862000002</v>
      </c>
      <c r="L21" s="52">
        <f t="shared" ca="1" si="1"/>
        <v>25965266.390649397</v>
      </c>
      <c r="M21" s="38">
        <v>47485660.397569999</v>
      </c>
      <c r="N21" s="31"/>
    </row>
    <row r="22" spans="1:14" x14ac:dyDescent="0.2">
      <c r="A22" s="30">
        <f t="shared" si="2"/>
        <v>2029</v>
      </c>
      <c r="B22" s="51">
        <f t="shared" si="2"/>
        <v>12</v>
      </c>
      <c r="C22" s="37">
        <f>C21*(1+IF('01- Histórico'!$G$16="",'01- Histórico'!$F$16,IF('01- Histórico'!$G$16&lt;'01- Histórico'!$F$16,'01- Histórico'!$G$16,'01- Histórico'!$F$16)))</f>
        <v>54047780.568744287</v>
      </c>
      <c r="D22" s="37">
        <f>D21*(1+'01- Histórico'!$F$17)</f>
        <v>21258949.308552727</v>
      </c>
      <c r="E22" s="37">
        <v>11225234.871462757</v>
      </c>
      <c r="F22" s="37">
        <v>6507233.1345499996</v>
      </c>
      <c r="G22" s="37">
        <f t="shared" si="0"/>
        <v>1683785.2307194134</v>
      </c>
      <c r="H22" s="37">
        <v>3530336.3670750372</v>
      </c>
      <c r="I22" s="37">
        <f t="shared" ca="1" si="3"/>
        <v>0</v>
      </c>
      <c r="J22" s="52">
        <v>0</v>
      </c>
      <c r="K22" s="52">
        <v>-920317.07420000003</v>
      </c>
      <c r="L22" s="52">
        <f t="shared" ca="1" si="1"/>
        <v>26473070.906347178</v>
      </c>
      <c r="M22" s="38">
        <v>49663994.604889996</v>
      </c>
      <c r="N22" s="31"/>
    </row>
    <row r="23" spans="1:14" x14ac:dyDescent="0.2">
      <c r="A23" s="30">
        <f t="shared" si="2"/>
        <v>2030</v>
      </c>
      <c r="B23" s="51">
        <f t="shared" si="2"/>
        <v>13</v>
      </c>
      <c r="C23" s="37">
        <f>C22*(1+IF('01- Histórico'!$G$16="",'01- Histórico'!$F$16,IF('01- Histórico'!$G$16&lt;'01- Histórico'!$F$16,'01- Histórico'!$G$16,'01- Histórico'!$F$16)))</f>
        <v>55016009.561789401</v>
      </c>
      <c r="D23" s="37">
        <f>D22*(1+'01- Histórico'!$F$17)</f>
        <v>21510230.75886102</v>
      </c>
      <c r="E23" s="37">
        <v>11337487.220177384</v>
      </c>
      <c r="F23" s="37">
        <v>6790473.1176100001</v>
      </c>
      <c r="G23" s="37">
        <f t="shared" si="0"/>
        <v>1700623.0830266075</v>
      </c>
      <c r="H23" s="37">
        <v>3776516.9930410869</v>
      </c>
      <c r="I23" s="37">
        <f t="shared" ca="1" si="3"/>
        <v>0</v>
      </c>
      <c r="J23" s="52">
        <v>0</v>
      </c>
      <c r="K23" s="52">
        <v>-1160552.8966900001</v>
      </c>
      <c r="L23" s="52">
        <f t="shared" ca="1" si="1"/>
        <v>26987370.834928714</v>
      </c>
      <c r="M23" s="38">
        <v>51668298.182530001</v>
      </c>
      <c r="N23" s="31"/>
    </row>
    <row r="24" spans="1:14" x14ac:dyDescent="0.2">
      <c r="A24" s="30">
        <f t="shared" si="2"/>
        <v>2031</v>
      </c>
      <c r="B24" s="51">
        <f t="shared" si="2"/>
        <v>14</v>
      </c>
      <c r="C24" s="37">
        <f>C23*(1+IF('01- Histórico'!$G$16="",'01- Histórico'!$F$16,IF('01- Histórico'!$G$16&lt;'01- Histórico'!$F$16,'01- Histórico'!$G$16,'01- Histórico'!$F$16)))</f>
        <v>56001583.714489698</v>
      </c>
      <c r="D24" s="37">
        <f>D23*(1+'01- Histórico'!$F$17)</f>
        <v>21764482.363825247</v>
      </c>
      <c r="E24" s="37">
        <v>11450862.092379158</v>
      </c>
      <c r="F24" s="37">
        <v>6926928.0828</v>
      </c>
      <c r="G24" s="37">
        <f t="shared" si="0"/>
        <v>1717629.3138568737</v>
      </c>
      <c r="H24" s="37">
        <v>4028413.2840989879</v>
      </c>
      <c r="I24" s="37">
        <f t="shared" ca="1" si="3"/>
        <v>0</v>
      </c>
      <c r="J24" s="52">
        <v>0</v>
      </c>
      <c r="K24" s="52">
        <v>-1186252.1821000001</v>
      </c>
      <c r="L24" s="52">
        <f t="shared" ca="1" si="1"/>
        <v>27510524.961781107</v>
      </c>
      <c r="M24" s="38">
        <v>53538210.00299</v>
      </c>
      <c r="N24" s="31"/>
    </row>
    <row r="25" spans="1:14" x14ac:dyDescent="0.2">
      <c r="A25" s="30">
        <f t="shared" si="2"/>
        <v>2032</v>
      </c>
      <c r="B25" s="51">
        <f t="shared" si="2"/>
        <v>15</v>
      </c>
      <c r="C25" s="37">
        <f>C24*(1+IF('01- Histórico'!$G$16="",'01- Histórico'!$F$16,IF('01- Histórico'!$G$16&lt;'01- Histórico'!$F$16,'01- Histórico'!$G$16,'01- Histórico'!$F$16)))</f>
        <v>57004813.753507599</v>
      </c>
      <c r="D25" s="37">
        <f>D24*(1+'01- Histórico'!$F$17)</f>
        <v>22021739.230766974</v>
      </c>
      <c r="E25" s="37">
        <v>11565370.713302949</v>
      </c>
      <c r="F25" s="37">
        <v>6958874.9606400002</v>
      </c>
      <c r="G25" s="37">
        <f t="shared" si="0"/>
        <v>1734805.6069954424</v>
      </c>
      <c r="H25" s="37">
        <v>4284969.8492787424</v>
      </c>
      <c r="I25" s="37">
        <f t="shared" ca="1" si="3"/>
        <v>0</v>
      </c>
      <c r="J25" s="52">
        <v>0</v>
      </c>
      <c r="K25" s="52">
        <v>-1057936.10827</v>
      </c>
      <c r="L25" s="52">
        <f t="shared" ca="1" si="1"/>
        <v>28041514.687041156</v>
      </c>
      <c r="M25" s="38">
        <v>55493075.290140003</v>
      </c>
      <c r="N25" s="31"/>
    </row>
    <row r="26" spans="1:14" x14ac:dyDescent="0.2">
      <c r="A26" s="30">
        <f t="shared" si="2"/>
        <v>2033</v>
      </c>
      <c r="B26" s="51">
        <f t="shared" si="2"/>
        <v>16</v>
      </c>
      <c r="C26" s="37">
        <f>C25*(1+IF('01- Histórico'!$G$16="",'01- Histórico'!$F$16,IF('01- Histórico'!$G$16&lt;'01- Histórico'!$F$16,'01- Histórico'!$G$16,'01- Histórico'!$F$16)))</f>
        <v>58026015.971960977</v>
      </c>
      <c r="D26" s="37">
        <f>D25*(1+'01- Histórico'!$F$17)</f>
        <v>22282036.88197742</v>
      </c>
      <c r="E26" s="37">
        <v>11681024.42043598</v>
      </c>
      <c r="F26" s="37">
        <v>7243421.7374099996</v>
      </c>
      <c r="G26" s="37">
        <f t="shared" si="0"/>
        <v>1752153.6630653969</v>
      </c>
      <c r="H26" s="37">
        <v>4327819.5477715302</v>
      </c>
      <c r="I26" s="37">
        <f t="shared" ca="1" si="3"/>
        <v>0</v>
      </c>
      <c r="J26" s="52">
        <v>0</v>
      </c>
      <c r="K26" s="52">
        <v>-1538474.0046099999</v>
      </c>
      <c r="L26" s="52">
        <f t="shared" ca="1" si="1"/>
        <v>28362010.092814349</v>
      </c>
      <c r="M26" s="38">
        <v>57701247.532779999</v>
      </c>
      <c r="N26" s="31"/>
    </row>
    <row r="27" spans="1:14" x14ac:dyDescent="0.2">
      <c r="A27" s="30">
        <f t="shared" si="2"/>
        <v>2034</v>
      </c>
      <c r="B27" s="51">
        <f t="shared" si="2"/>
        <v>17</v>
      </c>
      <c r="C27" s="37">
        <f>C26*(1+IF('01- Histórico'!$G$16="",'01- Histórico'!$F$16,IF('01- Histórico'!$G$16&lt;'01- Histórico'!$F$16,'01- Histórico'!$G$16,'01- Histórico'!$F$16)))</f>
        <v>59065512.329142421</v>
      </c>
      <c r="D27" s="37">
        <f>D26*(1+'01- Histórico'!$F$17)</f>
        <v>22545411.259622399</v>
      </c>
      <c r="E27" s="37">
        <v>11797834.664640339</v>
      </c>
      <c r="F27" s="37">
        <v>7306194.38375</v>
      </c>
      <c r="G27" s="37">
        <f t="shared" si="0"/>
        <v>1769675.1996960507</v>
      </c>
      <c r="H27" s="37">
        <v>4371097.7432492459</v>
      </c>
      <c r="I27" s="37">
        <f t="shared" ca="1" si="3"/>
        <v>0</v>
      </c>
      <c r="J27" s="52">
        <v>0</v>
      </c>
      <c r="K27" s="52">
        <v>-1660231.7860000001</v>
      </c>
      <c r="L27" s="52">
        <f t="shared" ca="1" si="1"/>
        <v>28686184.202567693</v>
      </c>
      <c r="M27" s="38">
        <v>59532539.939860001</v>
      </c>
      <c r="N27" s="31"/>
    </row>
    <row r="28" spans="1:14" x14ac:dyDescent="0.2">
      <c r="A28" s="30">
        <f t="shared" ref="A28:B43" si="4">A27+1</f>
        <v>2035</v>
      </c>
      <c r="B28" s="51">
        <f t="shared" si="4"/>
        <v>18</v>
      </c>
      <c r="C28" s="37">
        <f>C27*(1+IF('01- Histórico'!$G$16="",'01- Histórico'!$F$16,IF('01- Histórico'!$G$16&lt;'01- Histórico'!$F$16,'01- Histórico'!$G$16,'01- Histórico'!$F$16)))</f>
        <v>60123630.552024856</v>
      </c>
      <c r="D28" s="37">
        <f>D27*(1+'01- Histórico'!$F$17)</f>
        <v>22811898.730705258</v>
      </c>
      <c r="E28" s="37">
        <v>11915813.011286743</v>
      </c>
      <c r="F28" s="37">
        <v>7545564.6066699997</v>
      </c>
      <c r="G28" s="37">
        <f t="shared" si="0"/>
        <v>1787371.9516930114</v>
      </c>
      <c r="H28" s="37">
        <v>4414808.7206817381</v>
      </c>
      <c r="I28" s="37">
        <f t="shared" ca="1" si="3"/>
        <v>0</v>
      </c>
      <c r="J28" s="52">
        <v>0</v>
      </c>
      <c r="K28" s="52">
        <v>-2112894.71374</v>
      </c>
      <c r="L28" s="52">
        <f t="shared" ca="1" si="1"/>
        <v>29014079.403080005</v>
      </c>
      <c r="M28" s="38">
        <v>61344646.643090002</v>
      </c>
      <c r="N28" s="31"/>
    </row>
    <row r="29" spans="1:14" x14ac:dyDescent="0.2">
      <c r="A29" s="30">
        <f t="shared" si="4"/>
        <v>2036</v>
      </c>
      <c r="B29" s="51">
        <f t="shared" si="4"/>
        <v>19</v>
      </c>
      <c r="C29" s="37">
        <f>C28*(1+IF('01- Histórico'!$G$16="",'01- Histórico'!$F$16,IF('01- Histórico'!$G$16&lt;'01- Histórico'!$F$16,'01- Histórico'!$G$16,'01- Histórico'!$F$16)))</f>
        <v>61200704.238585599</v>
      </c>
      <c r="D29" s="37">
        <f>D28*(1+'01- Histórico'!$F$17)</f>
        <v>23081536.092088468</v>
      </c>
      <c r="E29" s="37">
        <v>12034971.141399611</v>
      </c>
      <c r="F29" s="37">
        <v>7570828.8097299999</v>
      </c>
      <c r="G29" s="37">
        <f t="shared" si="0"/>
        <v>1805245.6712099416</v>
      </c>
      <c r="H29" s="37">
        <v>4458956.8078885553</v>
      </c>
      <c r="I29" s="37">
        <f t="shared" ca="1" si="3"/>
        <v>0</v>
      </c>
      <c r="J29" s="52">
        <v>0</v>
      </c>
      <c r="K29" s="52">
        <v>-2216291.1462599998</v>
      </c>
      <c r="L29" s="52">
        <f t="shared" ca="1" si="1"/>
        <v>29345738.571186967</v>
      </c>
      <c r="M29" s="38">
        <v>62785657.045110002</v>
      </c>
      <c r="N29" s="31"/>
    </row>
    <row r="30" spans="1:14" x14ac:dyDescent="0.2">
      <c r="A30" s="30">
        <f t="shared" si="4"/>
        <v>2037</v>
      </c>
      <c r="B30" s="51">
        <f t="shared" si="4"/>
        <v>20</v>
      </c>
      <c r="C30" s="37">
        <f>C29*(1+IF('01- Histórico'!$G$16="",'01- Histórico'!$F$16,IF('01- Histórico'!$G$16&lt;'01- Histórico'!$F$16,'01- Histórico'!$G$16,'01- Histórico'!$F$16)))</f>
        <v>62297072.962981388</v>
      </c>
      <c r="D30" s="37">
        <f>D29*(1+'01- Histórico'!$F$17)</f>
        <v>23354360.575574577</v>
      </c>
      <c r="E30" s="37">
        <v>12155320.852813607</v>
      </c>
      <c r="F30" s="37">
        <v>7588456.0116600003</v>
      </c>
      <c r="G30" s="37">
        <f t="shared" si="0"/>
        <v>1823298.1279220411</v>
      </c>
      <c r="H30" s="37">
        <v>4503546.3759674411</v>
      </c>
      <c r="I30" s="37">
        <f t="shared" ca="1" si="3"/>
        <v>0</v>
      </c>
      <c r="J30" s="52">
        <v>0</v>
      </c>
      <c r="K30" s="52">
        <v>-2321316.9798099999</v>
      </c>
      <c r="L30" s="52">
        <f t="shared" ca="1" si="1"/>
        <v>29681205.079464056</v>
      </c>
      <c r="M30" s="38">
        <v>64203527.852779999</v>
      </c>
      <c r="N30" s="31"/>
    </row>
    <row r="31" spans="1:14" x14ac:dyDescent="0.2">
      <c r="A31" s="30">
        <f t="shared" si="4"/>
        <v>2038</v>
      </c>
      <c r="B31" s="51">
        <f t="shared" si="4"/>
        <v>21</v>
      </c>
      <c r="C31" s="37">
        <f>C30*(1+IF('01- Histórico'!$G$16="",'01- Histórico'!$F$16,IF('01- Histórico'!$G$16&lt;'01- Histórico'!$F$16,'01- Histórico'!$G$16,'01- Histórico'!$F$16)))</f>
        <v>63413082.382607535</v>
      </c>
      <c r="D31" s="37">
        <f>D30*(1+'01- Histórico'!$F$17)</f>
        <v>23630409.853047207</v>
      </c>
      <c r="E31" s="37">
        <v>12276874.061341744</v>
      </c>
      <c r="F31" s="37">
        <v>7726059.1151099997</v>
      </c>
      <c r="G31" s="37">
        <f t="shared" si="0"/>
        <v>1841531.1092012615</v>
      </c>
      <c r="H31" s="37">
        <v>4548581.8397271158</v>
      </c>
      <c r="I31" s="37">
        <f t="shared" ca="1" si="3"/>
        <v>0</v>
      </c>
      <c r="J31" s="52">
        <v>0</v>
      </c>
      <c r="K31" s="52">
        <v>-2670245.6955599999</v>
      </c>
      <c r="L31" s="52">
        <f t="shared" ca="1" si="1"/>
        <v>30020522.801975582</v>
      </c>
      <c r="M31" s="38">
        <v>65595143.525349997</v>
      </c>
      <c r="N31" s="31"/>
    </row>
    <row r="32" spans="1:14" x14ac:dyDescent="0.2">
      <c r="A32" s="30">
        <f t="shared" si="4"/>
        <v>2039</v>
      </c>
      <c r="B32" s="51">
        <f t="shared" si="4"/>
        <v>22</v>
      </c>
      <c r="C32" s="37">
        <f>C31*(1+IF('01- Histórico'!$G$16="",'01- Histórico'!$F$16,IF('01- Histórico'!$G$16&lt;'01- Histórico'!$F$16,'01- Histórico'!$G$16,'01- Histórico'!$F$16)))</f>
        <v>64549084.347074986</v>
      </c>
      <c r="D32" s="37">
        <f>D31*(1+'01- Histórico'!$F$17)</f>
        <v>23909722.041672833</v>
      </c>
      <c r="E32" s="37">
        <v>12399642.801955162</v>
      </c>
      <c r="F32" s="37">
        <v>7730362.3941700002</v>
      </c>
      <c r="G32" s="37">
        <f t="shared" si="0"/>
        <v>1859946.4202932741</v>
      </c>
      <c r="H32" s="37">
        <v>4594067.6581243873</v>
      </c>
      <c r="I32" s="37">
        <f t="shared" ca="1" si="3"/>
        <v>0</v>
      </c>
      <c r="J32" s="52">
        <v>0</v>
      </c>
      <c r="K32" s="52">
        <v>-2794805.0864900001</v>
      </c>
      <c r="L32" s="52">
        <f t="shared" ca="1" si="1"/>
        <v>30363736.120090496</v>
      </c>
      <c r="M32" s="38">
        <v>66700391.699579999</v>
      </c>
      <c r="N32" s="31"/>
    </row>
    <row r="33" spans="1:14" x14ac:dyDescent="0.2">
      <c r="A33" s="30">
        <f t="shared" si="4"/>
        <v>2040</v>
      </c>
      <c r="B33" s="51">
        <f t="shared" si="4"/>
        <v>23</v>
      </c>
      <c r="C33" s="37">
        <f>C32*(1+IF('01- Histórico'!$G$16="",'01- Histórico'!$F$16,IF('01- Histórico'!$G$16&lt;'01- Histórico'!$F$16,'01- Histórico'!$G$16,'01- Histórico'!$F$16)))</f>
        <v>65705437.00913962</v>
      </c>
      <c r="D33" s="37">
        <f>D32*(1+'01- Histórico'!$F$17)</f>
        <v>24192335.709164042</v>
      </c>
      <c r="E33" s="37">
        <v>12523639.229974713</v>
      </c>
      <c r="F33" s="37">
        <v>7757927.0070399996</v>
      </c>
      <c r="G33" s="37">
        <f t="shared" si="0"/>
        <v>1878545.8844962069</v>
      </c>
      <c r="H33" s="37">
        <v>4640008.3347056312</v>
      </c>
      <c r="I33" s="37">
        <f t="shared" ca="1" si="3"/>
        <v>0</v>
      </c>
      <c r="J33" s="52">
        <v>0</v>
      </c>
      <c r="K33" s="52">
        <v>-2989593.1970500001</v>
      </c>
      <c r="L33" s="52">
        <f t="shared" ca="1" si="1"/>
        <v>30710889.928365882</v>
      </c>
      <c r="M33" s="38">
        <v>67739921.809880003</v>
      </c>
      <c r="N33" s="31"/>
    </row>
    <row r="34" spans="1:14" x14ac:dyDescent="0.2">
      <c r="A34" s="30">
        <f t="shared" si="4"/>
        <v>2041</v>
      </c>
      <c r="B34" s="51">
        <f t="shared" si="4"/>
        <v>24</v>
      </c>
      <c r="C34" s="37">
        <f>C33*(1+IF('01- Histórico'!$G$16="",'01- Histórico'!$F$16,IF('01- Histórico'!$G$16&lt;'01- Histórico'!$F$16,'01- Histórico'!$G$16,'01- Histórico'!$F$16)))</f>
        <v>66882504.937618792</v>
      </c>
      <c r="D34" s="37">
        <f>D33*(1+'01- Histórico'!$F$17)</f>
        <v>24478289.879104991</v>
      </c>
      <c r="E34" s="37">
        <v>12648875.62227446</v>
      </c>
      <c r="F34" s="37">
        <v>7784029.7207699995</v>
      </c>
      <c r="G34" s="37">
        <f t="shared" si="0"/>
        <v>1897331.3433411689</v>
      </c>
      <c r="H34" s="37">
        <v>4686408.4180526873</v>
      </c>
      <c r="I34" s="37">
        <f t="shared" ca="1" si="3"/>
        <v>0</v>
      </c>
      <c r="J34" s="52">
        <v>0</v>
      </c>
      <c r="K34" s="52">
        <v>-3202484.0187499998</v>
      </c>
      <c r="L34" s="52">
        <f t="shared" ca="1" si="1"/>
        <v>31062029.640498847</v>
      </c>
      <c r="M34" s="38">
        <v>68635348.329600006</v>
      </c>
      <c r="N34" s="31"/>
    </row>
    <row r="35" spans="1:14" x14ac:dyDescent="0.2">
      <c r="A35" s="30">
        <f t="shared" si="4"/>
        <v>2042</v>
      </c>
      <c r="B35" s="51">
        <f t="shared" si="4"/>
        <v>25</v>
      </c>
      <c r="C35" s="37">
        <f>C34*(1+IF('01- Histórico'!$G$16="",'01- Histórico'!$F$16,IF('01- Histórico'!$G$16&lt;'01- Histórico'!$F$16,'01- Histórico'!$G$16,'01- Histórico'!$F$16)))</f>
        <v>68080659.232330665</v>
      </c>
      <c r="D35" s="37">
        <f>D34*(1+'01- Histórico'!$F$17)</f>
        <v>24767624.036339834</v>
      </c>
      <c r="E35" s="37">
        <v>12775364.378497206</v>
      </c>
      <c r="F35" s="37">
        <v>7659906.7005899996</v>
      </c>
      <c r="G35" s="37">
        <f t="shared" si="0"/>
        <v>1916304.6567745807</v>
      </c>
      <c r="H35" s="37">
        <v>4733272.5022332147</v>
      </c>
      <c r="I35" s="37">
        <f t="shared" ca="1" si="3"/>
        <v>0</v>
      </c>
      <c r="J35" s="52">
        <v>0</v>
      </c>
      <c r="K35" s="52">
        <v>-3145642.7009100001</v>
      </c>
      <c r="L35" s="52">
        <f t="shared" ca="1" si="1"/>
        <v>31417201.195347629</v>
      </c>
      <c r="M35" s="38">
        <v>69358836.169499993</v>
      </c>
      <c r="N35" s="31"/>
    </row>
    <row r="36" spans="1:14" x14ac:dyDescent="0.2">
      <c r="A36" s="30">
        <f t="shared" si="4"/>
        <v>2043</v>
      </c>
      <c r="B36" s="51">
        <f t="shared" si="4"/>
        <v>26</v>
      </c>
      <c r="C36" s="37">
        <f>C35*(1+IF('01- Histórico'!$G$16="",'01- Histórico'!$F$16,IF('01- Histórico'!$G$16&lt;'01- Histórico'!$F$16,'01- Histórico'!$G$16,'01- Histórico'!$F$16)))</f>
        <v>69300277.641092613</v>
      </c>
      <c r="D36" s="37">
        <f>D35*(1+'01- Histórico'!$F$17)</f>
        <v>25060378.132424828</v>
      </c>
      <c r="E36" s="37">
        <f t="shared" ref="E36:E45" ca="1" si="5">E35*(1.03+RAND()/80)</f>
        <v>13282447.002302034</v>
      </c>
      <c r="F36" s="37">
        <v>7711239.7141000004</v>
      </c>
      <c r="G36" s="37">
        <f t="shared" ca="1" si="0"/>
        <v>1992367.0503453049</v>
      </c>
      <c r="H36" s="37">
        <f ca="1">H35*(1.03+RAND()/90)</f>
        <v>4912002.2324485388</v>
      </c>
      <c r="I36" s="37">
        <f t="shared" ca="1" si="3"/>
        <v>0</v>
      </c>
      <c r="J36" s="52">
        <v>0</v>
      </c>
      <c r="K36" s="52">
        <v>-6472640.22719</v>
      </c>
      <c r="L36" s="52">
        <f t="shared" ca="1" si="1"/>
        <v>31964747.415218674</v>
      </c>
      <c r="M36" s="38">
        <v>70185985.076710001</v>
      </c>
      <c r="N36" s="31"/>
    </row>
    <row r="37" spans="1:14" x14ac:dyDescent="0.2">
      <c r="A37" s="30">
        <f t="shared" si="4"/>
        <v>2044</v>
      </c>
      <c r="B37" s="51">
        <f>B36+1</f>
        <v>27</v>
      </c>
      <c r="C37" s="37">
        <f>C36*(1+IF('01- Histórico'!$G$16="",'01- Histórico'!$F$16,IF('01- Histórico'!$G$16&lt;'01- Histórico'!$F$16,'01- Histórico'!$G$16,'01- Histórico'!$F$16)))</f>
        <v>70541744.678815618</v>
      </c>
      <c r="D37" s="37">
        <f>D36*(1+'01- Histórico'!$F$17)</f>
        <v>25356592.591144882</v>
      </c>
      <c r="E37" s="37">
        <f t="shared" ca="1" si="5"/>
        <v>13781217.403965941</v>
      </c>
      <c r="F37" s="37">
        <v>7587936.7212399999</v>
      </c>
      <c r="G37" s="37">
        <f t="shared" ca="1" si="0"/>
        <v>2067182.610594891</v>
      </c>
      <c r="H37" s="37">
        <f t="shared" ref="H37:H45" ca="1" si="6">H36*(1.03+RAND()/90)</f>
        <v>5079187.1036624676</v>
      </c>
      <c r="I37" s="37">
        <f t="shared" ca="1" si="3"/>
        <v>0</v>
      </c>
      <c r="J37" s="52">
        <v>0</v>
      </c>
      <c r="K37" s="52">
        <v>-6453852.5015500002</v>
      </c>
      <c r="L37" s="52">
        <f t="shared" ca="1" si="1"/>
        <v>32502962.305402242</v>
      </c>
      <c r="M37" s="38">
        <v>67536145.540490001</v>
      </c>
      <c r="N37" s="31"/>
    </row>
    <row r="38" spans="1:14" x14ac:dyDescent="0.2">
      <c r="A38" s="30">
        <f t="shared" si="4"/>
        <v>2045</v>
      </c>
      <c r="B38" s="51">
        <f t="shared" si="4"/>
        <v>28</v>
      </c>
      <c r="C38" s="37">
        <f>C37*(1+IF('01- Histórico'!$G$16="",'01- Histórico'!$F$16,IF('01- Histórico'!$G$16&lt;'01- Histórico'!$F$16,'01- Histórico'!$G$16,'01- Histórico'!$F$16)))</f>
        <v>71805451.748732075</v>
      </c>
      <c r="D38" s="37">
        <f>D37*(1+'01- Histórico'!$F$17)</f>
        <v>25656308.314095315</v>
      </c>
      <c r="E38" s="37">
        <f t="shared" ca="1" si="5"/>
        <v>14229294.775927769</v>
      </c>
      <c r="F38" s="37">
        <v>7424860.8882099995</v>
      </c>
      <c r="G38" s="37">
        <f t="shared" ca="1" si="0"/>
        <v>2134394.2163891653</v>
      </c>
      <c r="H38" s="37">
        <f t="shared" ca="1" si="6"/>
        <v>5244553.8904493684</v>
      </c>
      <c r="I38" s="37">
        <f t="shared" ca="1" si="3"/>
        <v>0</v>
      </c>
      <c r="J38" s="52">
        <v>0</v>
      </c>
      <c r="K38" s="52">
        <v>-6372575.4962900002</v>
      </c>
      <c r="L38" s="52">
        <f t="shared" ca="1" si="1"/>
        <v>33035256.420933846</v>
      </c>
      <c r="M38" s="38">
        <v>64747230.62128</v>
      </c>
      <c r="N38" s="31"/>
    </row>
    <row r="39" spans="1:14" x14ac:dyDescent="0.2">
      <c r="A39" s="30">
        <f t="shared" si="4"/>
        <v>2046</v>
      </c>
      <c r="B39" s="51">
        <f t="shared" si="4"/>
        <v>29</v>
      </c>
      <c r="C39" s="37">
        <f>C38*(1+IF('01- Histórico'!$G$16="",'01- Histórico'!$F$16,IF('01- Histórico'!$G$16&lt;'01- Histórico'!$F$16,'01- Histórico'!$G$16,'01- Histórico'!$F$16)))</f>
        <v>73091797.265795365</v>
      </c>
      <c r="D39" s="37">
        <f>D38*(1+'01- Histórico'!$F$17)</f>
        <v>25959566.686329588</v>
      </c>
      <c r="E39" s="37">
        <f t="shared" ca="1" si="5"/>
        <v>14826907.153587919</v>
      </c>
      <c r="F39" s="37">
        <v>7207437.7561100004</v>
      </c>
      <c r="G39" s="37">
        <f t="shared" ca="1" si="0"/>
        <v>2224036.0730381878</v>
      </c>
      <c r="H39" s="37">
        <f t="shared" ca="1" si="6"/>
        <v>5404974.575500288</v>
      </c>
      <c r="I39" s="37">
        <f t="shared" ca="1" si="3"/>
        <v>0</v>
      </c>
      <c r="J39" s="52">
        <v>0</v>
      </c>
      <c r="K39" s="52">
        <v>-6196682.1565100001</v>
      </c>
      <c r="L39" s="52">
        <f t="shared" ca="1" si="1"/>
        <v>33588577.334868066</v>
      </c>
      <c r="M39" s="38">
        <v>61877134.432489999</v>
      </c>
      <c r="N39" s="31"/>
    </row>
    <row r="40" spans="1:14" x14ac:dyDescent="0.2">
      <c r="A40" s="30">
        <f t="shared" si="4"/>
        <v>2047</v>
      </c>
      <c r="B40" s="51">
        <f t="shared" si="4"/>
        <v>30</v>
      </c>
      <c r="C40" s="37">
        <f>C39*(1+IF('01- Histórico'!$G$16="",'01- Histórico'!$F$16,IF('01- Histórico'!$G$16&lt;'01- Histórico'!$F$16,'01- Histórico'!$G$16,'01- Histórico'!$F$16)))</f>
        <v>74401186.782290056</v>
      </c>
      <c r="D40" s="37">
        <f>D39*(1+'01- Histórico'!$F$17)</f>
        <v>26266409.582073804</v>
      </c>
      <c r="E40" s="37">
        <f t="shared" ca="1" si="5"/>
        <v>15302783.266612915</v>
      </c>
      <c r="F40" s="37">
        <v>7044178.3545700004</v>
      </c>
      <c r="G40" s="37">
        <f t="shared" ca="1" si="0"/>
        <v>2295417.4899919373</v>
      </c>
      <c r="H40" s="37">
        <f t="shared" ca="1" si="6"/>
        <v>5572411.1120040519</v>
      </c>
      <c r="I40" s="37">
        <f t="shared" ca="1" si="3"/>
        <v>0</v>
      </c>
      <c r="J40" s="52">
        <v>0</v>
      </c>
      <c r="K40" s="52">
        <v>-6138310.4603399998</v>
      </c>
      <c r="L40" s="52">
        <f t="shared" ca="1" si="1"/>
        <v>34134238.18406979</v>
      </c>
      <c r="M40" s="38">
        <v>59021279.412540004</v>
      </c>
      <c r="N40" s="31"/>
    </row>
    <row r="41" spans="1:14" x14ac:dyDescent="0.2">
      <c r="A41" s="30">
        <f t="shared" si="4"/>
        <v>2048</v>
      </c>
      <c r="B41" s="51">
        <f t="shared" si="4"/>
        <v>31</v>
      </c>
      <c r="C41" s="37">
        <f>C40*(1+IF('01- Histórico'!$G$16="",'01- Histórico'!$F$16,IF('01- Histórico'!$G$16&lt;'01- Histórico'!$F$16,'01- Histórico'!$G$16,'01- Histórico'!$F$16)))</f>
        <v>75734033.115692273</v>
      </c>
      <c r="D41" s="37">
        <f>D40*(1+'01- Histórico'!$F$17)</f>
        <v>26576879.37050873</v>
      </c>
      <c r="E41" s="37">
        <f t="shared" ca="1" si="5"/>
        <v>15839018.743239857</v>
      </c>
      <c r="F41" s="37">
        <v>6811369.0106100002</v>
      </c>
      <c r="G41" s="37">
        <f t="shared" ca="1" si="0"/>
        <v>2375852.8114859783</v>
      </c>
      <c r="H41" s="37">
        <f t="shared" ca="1" si="6"/>
        <v>5755237.2346434025</v>
      </c>
      <c r="I41" s="37">
        <f t="shared" ca="1" si="3"/>
        <v>0</v>
      </c>
      <c r="J41" s="52">
        <v>0</v>
      </c>
      <c r="K41" s="52">
        <v>-5951211.6889699996</v>
      </c>
      <c r="L41" s="52">
        <f t="shared" ca="1" si="1"/>
        <v>34707969.416638114</v>
      </c>
      <c r="M41" s="38">
        <v>56055947.089330003</v>
      </c>
      <c r="N41" s="31"/>
    </row>
    <row r="42" spans="1:14" x14ac:dyDescent="0.2">
      <c r="A42" s="30">
        <f t="shared" si="4"/>
        <v>2049</v>
      </c>
      <c r="B42" s="51">
        <f t="shared" si="4"/>
        <v>32</v>
      </c>
      <c r="C42" s="37">
        <f>C41*(1+IF('01- Histórico'!$G$16="",'01- Histórico'!$F$16,IF('01- Histórico'!$G$16&lt;'01- Histórico'!$F$16,'01- Histórico'!$G$16,'01- Histórico'!$F$16)))</f>
        <v>77090756.478820667</v>
      </c>
      <c r="D42" s="37">
        <f>D41*(1+'01- Histórico'!$F$17)</f>
        <v>26891018.92162019</v>
      </c>
      <c r="E42" s="37">
        <f t="shared" ca="1" si="5"/>
        <v>16481295.395734232</v>
      </c>
      <c r="F42" s="37">
        <v>6581699.1081600003</v>
      </c>
      <c r="G42" s="37">
        <f t="shared" ca="1" si="0"/>
        <v>2472194.3093601349</v>
      </c>
      <c r="H42" s="37">
        <f t="shared" ca="1" si="6"/>
        <v>5943301.6859575883</v>
      </c>
      <c r="I42" s="37">
        <f t="shared" ca="1" si="3"/>
        <v>0</v>
      </c>
      <c r="J42" s="52">
        <v>0</v>
      </c>
      <c r="K42" s="52">
        <v>-5778596.3550199997</v>
      </c>
      <c r="L42" s="52">
        <f t="shared" ca="1" si="1"/>
        <v>35306514.916937917</v>
      </c>
      <c r="M42" s="38">
        <v>53111019.524379998</v>
      </c>
      <c r="N42" s="31"/>
    </row>
    <row r="43" spans="1:14" x14ac:dyDescent="0.2">
      <c r="A43" s="30">
        <f t="shared" si="4"/>
        <v>2050</v>
      </c>
      <c r="B43" s="51">
        <f t="shared" si="4"/>
        <v>33</v>
      </c>
      <c r="C43" s="37">
        <f>C42*(1+IF('01- Histórico'!$G$16="",'01- Histórico'!$F$16,IF('01- Histórico'!$G$16&lt;'01- Histórico'!$F$16,'01- Histórico'!$G$16,'01- Histórico'!$F$16)))</f>
        <v>78471784.612318903</v>
      </c>
      <c r="D43" s="37">
        <f>D42*(1+'01- Histórico'!$F$17)</f>
        <v>27208871.612118587</v>
      </c>
      <c r="E43" s="37">
        <f t="shared" ca="1" si="5"/>
        <v>17074822.074905954</v>
      </c>
      <c r="F43" s="37">
        <v>6338305.0982900001</v>
      </c>
      <c r="G43" s="37">
        <f t="shared" ca="1" si="0"/>
        <v>2561223.3112358931</v>
      </c>
      <c r="H43" s="37">
        <f t="shared" ca="1" si="6"/>
        <v>6126029.513589357</v>
      </c>
      <c r="I43" s="37">
        <f t="shared" ca="1" si="3"/>
        <v>0</v>
      </c>
      <c r="J43" s="52">
        <v>0</v>
      </c>
      <c r="K43" s="52">
        <v>-5584951.7037300002</v>
      </c>
      <c r="L43" s="52">
        <f t="shared" ca="1" si="1"/>
        <v>35896124.436943837</v>
      </c>
      <c r="M43" s="38">
        <v>50172368.559519999</v>
      </c>
      <c r="N43" s="31"/>
    </row>
    <row r="44" spans="1:14" x14ac:dyDescent="0.2">
      <c r="A44" s="30">
        <f>A43+1</f>
        <v>2051</v>
      </c>
      <c r="B44" s="51">
        <f>B43+1</f>
        <v>34</v>
      </c>
      <c r="C44" s="37">
        <f>C43*(1+IF('01- Histórico'!$G$16="",'01- Histórico'!$F$16,IF('01- Histórico'!$G$16&lt;'01- Histórico'!$F$16,'01- Histórico'!$G$16,'01- Histórico'!$F$16)))</f>
        <v>79877552.919511467</v>
      </c>
      <c r="D44" s="37">
        <f>D43*(1+'01- Histórico'!$F$17)</f>
        <v>27530481.331428409</v>
      </c>
      <c r="E44" s="37">
        <f t="shared" ca="1" si="5"/>
        <v>17784529.163652793</v>
      </c>
      <c r="F44" s="37">
        <v>6102870.3710399996</v>
      </c>
      <c r="G44" s="37">
        <f t="shared" ca="1" si="0"/>
        <v>2667679.3745479188</v>
      </c>
      <c r="H44" s="37">
        <f t="shared" ca="1" si="6"/>
        <v>6333273.6083346698</v>
      </c>
      <c r="I44" s="37">
        <f t="shared" ca="1" si="3"/>
        <v>0</v>
      </c>
      <c r="J44" s="52">
        <v>0</v>
      </c>
      <c r="K44" s="52">
        <v>-5414553.2719599996</v>
      </c>
      <c r="L44" s="52">
        <f t="shared" ca="1" si="1"/>
        <v>36531434.314310998</v>
      </c>
      <c r="M44" s="38">
        <v>47262661.867140003</v>
      </c>
      <c r="N44" s="31"/>
    </row>
    <row r="45" spans="1:14" ht="12" thickBot="1" x14ac:dyDescent="0.25">
      <c r="A45" s="32">
        <f>A44+1</f>
        <v>2052</v>
      </c>
      <c r="B45" s="53">
        <f>B44+1</f>
        <v>35</v>
      </c>
      <c r="C45" s="54">
        <f>C44*(1+IF('01- Histórico'!$G$16="",'01- Histórico'!$F$16,IF('01- Histórico'!$G$16&lt;'01- Histórico'!$F$16,'01- Histórico'!$G$16,'01- Histórico'!$F$16)))</f>
        <v>81308504.60367538</v>
      </c>
      <c r="D45" s="54">
        <f>D44*(1+'01- Histórico'!$F$17)</f>
        <v>27855892.487748519</v>
      </c>
      <c r="E45" s="54">
        <f t="shared" ca="1" si="5"/>
        <v>18446019.873772543</v>
      </c>
      <c r="F45" s="54">
        <v>5864650.95689</v>
      </c>
      <c r="G45" s="54">
        <f t="shared" ca="1" si="0"/>
        <v>2766902.9810658814</v>
      </c>
      <c r="H45" s="54">
        <f t="shared" ca="1" si="6"/>
        <v>6539107.7042382751</v>
      </c>
      <c r="I45" s="54">
        <f t="shared" ca="1" si="3"/>
        <v>0</v>
      </c>
      <c r="J45" s="55">
        <v>0</v>
      </c>
      <c r="K45" s="55">
        <v>-5244185.1328199999</v>
      </c>
      <c r="L45" s="55">
        <f t="shared" ca="1" si="1"/>
        <v>37161903.173052676</v>
      </c>
      <c r="M45" s="71">
        <v>44358995.110890001</v>
      </c>
      <c r="N45" s="31"/>
    </row>
    <row r="46" spans="1:14" s="33" customFormat="1" x14ac:dyDescent="0.2">
      <c r="N46" s="31"/>
    </row>
    <row r="47" spans="1:14" s="33" customFormat="1" x14ac:dyDescent="0.2">
      <c r="N47" s="31"/>
    </row>
    <row r="48" spans="1:14" s="33" customFormat="1" x14ac:dyDescent="0.2">
      <c r="N48" s="31"/>
    </row>
    <row r="49" spans="14:14" s="33" customFormat="1" x14ac:dyDescent="0.2">
      <c r="N49" s="31"/>
    </row>
    <row r="50" spans="14:14" s="33" customFormat="1" x14ac:dyDescent="0.2">
      <c r="N50" s="31"/>
    </row>
    <row r="51" spans="14:14" s="33" customFormat="1" x14ac:dyDescent="0.2">
      <c r="N51" s="31"/>
    </row>
    <row r="52" spans="14:14" s="33" customFormat="1" x14ac:dyDescent="0.2">
      <c r="N52" s="31"/>
    </row>
    <row r="53" spans="14:14" s="33" customFormat="1" x14ac:dyDescent="0.2">
      <c r="N53" s="31"/>
    </row>
    <row r="54" spans="14:14" s="33" customFormat="1" x14ac:dyDescent="0.2">
      <c r="N54" s="31"/>
    </row>
    <row r="55" spans="14:14" s="33" customFormat="1" x14ac:dyDescent="0.2">
      <c r="N55" s="31"/>
    </row>
    <row r="56" spans="14:14" s="33" customFormat="1" x14ac:dyDescent="0.2">
      <c r="N56" s="31"/>
    </row>
    <row r="57" spans="14:14" s="33" customFormat="1" x14ac:dyDescent="0.2">
      <c r="N57" s="31"/>
    </row>
    <row r="58" spans="14:14" s="33" customFormat="1" x14ac:dyDescent="0.2">
      <c r="N58" s="31"/>
    </row>
    <row r="59" spans="14:14" s="33" customFormat="1" x14ac:dyDescent="0.2">
      <c r="N59" s="31"/>
    </row>
    <row r="60" spans="14:14" s="33" customFormat="1" x14ac:dyDescent="0.2">
      <c r="N60" s="31"/>
    </row>
    <row r="61" spans="14:14" s="33" customFormat="1" x14ac:dyDescent="0.2">
      <c r="N61" s="31"/>
    </row>
    <row r="62" spans="14:14" s="33" customFormat="1" x14ac:dyDescent="0.2">
      <c r="N62" s="31"/>
    </row>
    <row r="63" spans="14:14" s="33" customFormat="1" x14ac:dyDescent="0.2">
      <c r="N63" s="31"/>
    </row>
    <row r="64" spans="14:14" s="33" customFormat="1" x14ac:dyDescent="0.2">
      <c r="N64" s="31"/>
    </row>
    <row r="65" spans="14:14" s="33" customFormat="1" x14ac:dyDescent="0.2">
      <c r="N65" s="31"/>
    </row>
    <row r="66" spans="14:14" s="33" customFormat="1" x14ac:dyDescent="0.2">
      <c r="N66" s="31"/>
    </row>
    <row r="67" spans="14:14" s="33" customFormat="1" x14ac:dyDescent="0.2">
      <c r="N67" s="31"/>
    </row>
    <row r="68" spans="14:14" s="33" customFormat="1" x14ac:dyDescent="0.2">
      <c r="N68" s="31"/>
    </row>
    <row r="69" spans="14:14" s="33" customFormat="1" x14ac:dyDescent="0.2">
      <c r="N69" s="31"/>
    </row>
    <row r="70" spans="14:14" s="33" customFormat="1" x14ac:dyDescent="0.2">
      <c r="N70" s="31"/>
    </row>
    <row r="71" spans="14:14" x14ac:dyDescent="0.2">
      <c r="N71" s="31"/>
    </row>
    <row r="72" spans="14:14" x14ac:dyDescent="0.2">
      <c r="N72" s="31"/>
    </row>
    <row r="73" spans="14:14" x14ac:dyDescent="0.2">
      <c r="N73" s="31"/>
    </row>
    <row r="74" spans="14:14" x14ac:dyDescent="0.2">
      <c r="N74" s="31"/>
    </row>
    <row r="75" spans="14:14" x14ac:dyDescent="0.2">
      <c r="N75" s="31"/>
    </row>
    <row r="76" spans="14:14" x14ac:dyDescent="0.2">
      <c r="N76" s="31"/>
    </row>
    <row r="77" spans="14:14" x14ac:dyDescent="0.2">
      <c r="N77" s="31"/>
    </row>
    <row r="78" spans="14:14" x14ac:dyDescent="0.2">
      <c r="N78" s="31"/>
    </row>
    <row r="79" spans="14:14" x14ac:dyDescent="0.2">
      <c r="N79" s="31"/>
    </row>
    <row r="80" spans="14:14" x14ac:dyDescent="0.2">
      <c r="N80" s="31"/>
    </row>
    <row r="81" spans="3:14" x14ac:dyDescent="0.2">
      <c r="N81" s="31"/>
    </row>
    <row r="82" spans="3:14" x14ac:dyDescent="0.2">
      <c r="N82" s="31"/>
    </row>
    <row r="83" spans="3:14" s="35" customFormat="1" x14ac:dyDescent="0.2">
      <c r="C83" s="24"/>
      <c r="N83" s="31"/>
    </row>
    <row r="84" spans="3:14" x14ac:dyDescent="0.2">
      <c r="N84" s="31"/>
    </row>
    <row r="85" spans="3:14" x14ac:dyDescent="0.2">
      <c r="N85" s="31"/>
    </row>
    <row r="86" spans="3:14" x14ac:dyDescent="0.2">
      <c r="N86" s="31"/>
    </row>
    <row r="87" spans="3:14" x14ac:dyDescent="0.2">
      <c r="N87" s="31"/>
    </row>
    <row r="88" spans="3:14" x14ac:dyDescent="0.2">
      <c r="N88" s="31"/>
    </row>
    <row r="89" spans="3:14" x14ac:dyDescent="0.2">
      <c r="N89" s="31"/>
    </row>
    <row r="90" spans="3:14" x14ac:dyDescent="0.2">
      <c r="N90" s="31"/>
    </row>
    <row r="91" spans="3:14" x14ac:dyDescent="0.2">
      <c r="N91" s="31"/>
    </row>
    <row r="92" spans="3:14" x14ac:dyDescent="0.2">
      <c r="N92" s="31"/>
    </row>
    <row r="93" spans="3:14" x14ac:dyDescent="0.2">
      <c r="N93" s="31"/>
    </row>
    <row r="94" spans="3:14" x14ac:dyDescent="0.2">
      <c r="N94" s="31"/>
    </row>
    <row r="95" spans="3:14" x14ac:dyDescent="0.2">
      <c r="N95" s="31"/>
    </row>
    <row r="96" spans="3:14" x14ac:dyDescent="0.2">
      <c r="N96" s="31"/>
    </row>
    <row r="97" spans="14:14" x14ac:dyDescent="0.2">
      <c r="N97" s="31"/>
    </row>
    <row r="98" spans="14:14" x14ac:dyDescent="0.2">
      <c r="N98" s="31"/>
    </row>
    <row r="99" spans="14:14" x14ac:dyDescent="0.2">
      <c r="N99" s="31"/>
    </row>
    <row r="100" spans="14:14" x14ac:dyDescent="0.2">
      <c r="N100" s="31"/>
    </row>
    <row r="101" spans="14:14" x14ac:dyDescent="0.2">
      <c r="N101" s="31"/>
    </row>
    <row r="102" spans="14:14" x14ac:dyDescent="0.2">
      <c r="N102" s="31"/>
    </row>
    <row r="103" spans="14:14" x14ac:dyDescent="0.2">
      <c r="N103" s="31"/>
    </row>
    <row r="104" spans="14:14" x14ac:dyDescent="0.2">
      <c r="N104" s="31"/>
    </row>
    <row r="105" spans="14:14" x14ac:dyDescent="0.2">
      <c r="N105" s="31"/>
    </row>
    <row r="106" spans="14:14" x14ac:dyDescent="0.2">
      <c r="N106" s="31"/>
    </row>
    <row r="107" spans="14:14" x14ac:dyDescent="0.2">
      <c r="N107" s="31"/>
    </row>
    <row r="108" spans="14:14" x14ac:dyDescent="0.2">
      <c r="N108" s="31"/>
    </row>
    <row r="109" spans="14:14" x14ac:dyDescent="0.2">
      <c r="N109" s="31"/>
    </row>
    <row r="110" spans="14:14" x14ac:dyDescent="0.2">
      <c r="N110" s="31"/>
    </row>
    <row r="111" spans="14:14" x14ac:dyDescent="0.2">
      <c r="N111" s="31"/>
    </row>
    <row r="112" spans="14:14" x14ac:dyDescent="0.2">
      <c r="N112" s="31"/>
    </row>
    <row r="113" spans="14:14" x14ac:dyDescent="0.2">
      <c r="N113" s="31"/>
    </row>
    <row r="114" spans="14:14" x14ac:dyDescent="0.2">
      <c r="N114" s="31"/>
    </row>
    <row r="115" spans="14:14" x14ac:dyDescent="0.2">
      <c r="N115" s="31"/>
    </row>
    <row r="116" spans="14:14" x14ac:dyDescent="0.2">
      <c r="N116" s="31"/>
    </row>
    <row r="117" spans="14:14" x14ac:dyDescent="0.2">
      <c r="N117" s="31"/>
    </row>
    <row r="118" spans="14:14" x14ac:dyDescent="0.2">
      <c r="N118" s="31"/>
    </row>
    <row r="119" spans="14:14" x14ac:dyDescent="0.2">
      <c r="N119" s="31"/>
    </row>
    <row r="120" spans="14:14" x14ac:dyDescent="0.2">
      <c r="N120" s="31"/>
    </row>
    <row r="121" spans="14:14" x14ac:dyDescent="0.2">
      <c r="N121" s="31"/>
    </row>
    <row r="122" spans="14:14" x14ac:dyDescent="0.2">
      <c r="N122" s="31"/>
    </row>
    <row r="123" spans="14:14" x14ac:dyDescent="0.2">
      <c r="N123" s="31"/>
    </row>
    <row r="124" spans="14:14" x14ac:dyDescent="0.2">
      <c r="N124" s="31"/>
    </row>
    <row r="125" spans="14:14" x14ac:dyDescent="0.2">
      <c r="N125" s="31"/>
    </row>
    <row r="126" spans="14:14" x14ac:dyDescent="0.2">
      <c r="N126" s="31"/>
    </row>
    <row r="127" spans="14:14" x14ac:dyDescent="0.2">
      <c r="N127" s="31"/>
    </row>
    <row r="128" spans="14:14" x14ac:dyDescent="0.2">
      <c r="N128" s="31"/>
    </row>
    <row r="129" spans="14:14" x14ac:dyDescent="0.2">
      <c r="N129" s="31"/>
    </row>
    <row r="130" spans="14:14" x14ac:dyDescent="0.2">
      <c r="N130" s="31"/>
    </row>
    <row r="131" spans="14:14" x14ac:dyDescent="0.2">
      <c r="N131" s="31"/>
    </row>
    <row r="132" spans="14:14" x14ac:dyDescent="0.2">
      <c r="N132" s="31"/>
    </row>
    <row r="133" spans="14:14" x14ac:dyDescent="0.2">
      <c r="N133" s="31"/>
    </row>
    <row r="134" spans="14:14" x14ac:dyDescent="0.2">
      <c r="N134" s="31"/>
    </row>
    <row r="135" spans="14:14" x14ac:dyDescent="0.2">
      <c r="N135" s="31"/>
    </row>
    <row r="136" spans="14:14" x14ac:dyDescent="0.2">
      <c r="N136" s="31"/>
    </row>
    <row r="137" spans="14:14" x14ac:dyDescent="0.2">
      <c r="N137" s="31"/>
    </row>
    <row r="138" spans="14:14" x14ac:dyDescent="0.2">
      <c r="N138" s="31"/>
    </row>
    <row r="139" spans="14:14" x14ac:dyDescent="0.2">
      <c r="N139" s="31"/>
    </row>
    <row r="140" spans="14:14" x14ac:dyDescent="0.2">
      <c r="N140" s="31"/>
    </row>
    <row r="141" spans="14:14" x14ac:dyDescent="0.2">
      <c r="N141" s="31"/>
    </row>
    <row r="142" spans="14:14" x14ac:dyDescent="0.2">
      <c r="N142" s="31"/>
    </row>
    <row r="143" spans="14:14" x14ac:dyDescent="0.2">
      <c r="N143" s="31"/>
    </row>
    <row r="144" spans="14:14" x14ac:dyDescent="0.2">
      <c r="N144" s="31"/>
    </row>
    <row r="145" spans="14:14" x14ac:dyDescent="0.2">
      <c r="N145" s="31"/>
    </row>
    <row r="146" spans="14:14" x14ac:dyDescent="0.2">
      <c r="N146" s="31"/>
    </row>
    <row r="147" spans="14:14" x14ac:dyDescent="0.2">
      <c r="N147" s="31"/>
    </row>
    <row r="148" spans="14:14" x14ac:dyDescent="0.2">
      <c r="N148" s="31"/>
    </row>
    <row r="149" spans="14:14" x14ac:dyDescent="0.2">
      <c r="N149" s="31"/>
    </row>
    <row r="150" spans="14:14" x14ac:dyDescent="0.2">
      <c r="N150" s="31"/>
    </row>
    <row r="151" spans="14:14" x14ac:dyDescent="0.2">
      <c r="N151" s="31"/>
    </row>
    <row r="152" spans="14:14" x14ac:dyDescent="0.2">
      <c r="N152" s="31"/>
    </row>
    <row r="153" spans="14:14" x14ac:dyDescent="0.2">
      <c r="N153" s="31"/>
    </row>
    <row r="154" spans="14:14" x14ac:dyDescent="0.2">
      <c r="N154" s="31"/>
    </row>
    <row r="155" spans="14:14" x14ac:dyDescent="0.2">
      <c r="N155" s="31"/>
    </row>
    <row r="156" spans="14:14" x14ac:dyDescent="0.2">
      <c r="N156" s="31"/>
    </row>
    <row r="157" spans="14:14" x14ac:dyDescent="0.2">
      <c r="N157" s="31"/>
    </row>
    <row r="158" spans="14:14" x14ac:dyDescent="0.2">
      <c r="N158" s="31"/>
    </row>
    <row r="159" spans="14:14" x14ac:dyDescent="0.2">
      <c r="N159" s="31"/>
    </row>
  </sheetData>
  <mergeCells count="1">
    <mergeCell ref="A7:F7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zoomScaleNormal="100" workbookViewId="0">
      <selection activeCell="E10" sqref="E10"/>
    </sheetView>
  </sheetViews>
  <sheetFormatPr defaultColWidth="19" defaultRowHeight="12.75" x14ac:dyDescent="0.2"/>
  <cols>
    <col min="1" max="1" width="7" style="68" customWidth="1"/>
    <col min="2" max="2" width="7.42578125" style="68" customWidth="1"/>
    <col min="3" max="3" width="16.7109375" style="68" customWidth="1"/>
    <col min="4" max="4" width="19.85546875" style="68" customWidth="1"/>
    <col min="5" max="5" width="14.7109375" style="68" customWidth="1"/>
    <col min="6" max="16384" width="19" style="68"/>
  </cols>
  <sheetData>
    <row r="1" spans="1:9" s="56" customFormat="1" x14ac:dyDescent="0.2">
      <c r="A1" s="63" t="s">
        <v>4</v>
      </c>
      <c r="B1" s="63"/>
      <c r="C1" s="63"/>
      <c r="D1" s="63"/>
      <c r="E1" s="63"/>
    </row>
    <row r="2" spans="1:9" s="56" customFormat="1" ht="6.75" customHeight="1" x14ac:dyDescent="0.2">
      <c r="A2" s="63"/>
      <c r="B2" s="63"/>
      <c r="C2" s="63"/>
      <c r="D2" s="63"/>
      <c r="E2" s="63"/>
    </row>
    <row r="3" spans="1:9" s="56" customFormat="1" x14ac:dyDescent="0.2">
      <c r="A3" s="59"/>
      <c r="B3" s="59"/>
      <c r="C3" s="59"/>
      <c r="D3" s="59"/>
    </row>
    <row r="4" spans="1:9" s="64" customFormat="1" ht="16.5" customHeight="1" thickBot="1" x14ac:dyDescent="0.25">
      <c r="A4" s="64" t="s">
        <v>0</v>
      </c>
      <c r="B4" s="64">
        <f>'01- Histórico'!B5</f>
        <v>0</v>
      </c>
      <c r="E4" s="65"/>
    </row>
    <row r="5" spans="1:9" s="58" customFormat="1" x14ac:dyDescent="0.2">
      <c r="A5" s="90" t="s">
        <v>6</v>
      </c>
      <c r="B5" s="90"/>
      <c r="C5" s="57"/>
      <c r="F5" s="59"/>
      <c r="G5" s="59"/>
      <c r="I5" s="59"/>
    </row>
    <row r="6" spans="1:9" s="58" customFormat="1" x14ac:dyDescent="0.2">
      <c r="A6" s="60" t="s">
        <v>1</v>
      </c>
      <c r="B6" s="60"/>
      <c r="C6" s="60"/>
      <c r="F6" s="59"/>
      <c r="G6" s="59"/>
      <c r="I6" s="59"/>
    </row>
    <row r="7" spans="1:9" s="58" customFormat="1" x14ac:dyDescent="0.2">
      <c r="A7" s="61" t="s">
        <v>2</v>
      </c>
      <c r="B7" s="61"/>
      <c r="C7" s="61"/>
      <c r="F7" s="59"/>
      <c r="G7" s="59"/>
      <c r="I7" s="59"/>
    </row>
    <row r="8" spans="1:9" s="59" customFormat="1" ht="13.5" thickBot="1" x14ac:dyDescent="0.25"/>
    <row r="9" spans="1:9" s="66" customFormat="1" ht="38.25" x14ac:dyDescent="0.2">
      <c r="A9" s="72" t="s">
        <v>5</v>
      </c>
      <c r="B9" s="73" t="s">
        <v>8</v>
      </c>
      <c r="C9" s="74" t="s">
        <v>9</v>
      </c>
      <c r="D9" s="75" t="s">
        <v>10</v>
      </c>
      <c r="E9" s="76" t="s">
        <v>51</v>
      </c>
    </row>
    <row r="10" spans="1:9" x14ac:dyDescent="0.2">
      <c r="A10" s="67">
        <f>'01- Histórico'!A30</f>
        <v>2017</v>
      </c>
      <c r="B10" s="77">
        <v>0</v>
      </c>
      <c r="C10" s="78">
        <f>'02 - Projeções'!L10/'02 - Projeções'!C10</f>
        <v>0.48188811078261834</v>
      </c>
      <c r="D10" s="78">
        <f>C10/(0.54*0.95)-1</f>
        <v>-6.0646957538755708E-2</v>
      </c>
      <c r="E10" s="62"/>
    </row>
    <row r="11" spans="1:9" x14ac:dyDescent="0.2">
      <c r="A11" s="67">
        <f>A10+1</f>
        <v>2018</v>
      </c>
      <c r="B11" s="77">
        <f>B10+1</f>
        <v>1</v>
      </c>
      <c r="C11" s="78">
        <f ca="1">'02 - Projeções'!L11/'02 - Projeções'!C11</f>
        <v>0.47883268738110629</v>
      </c>
      <c r="D11" s="78">
        <f t="shared" ref="D11:D45" ca="1" si="0">C11/(0.54*0.95)-1</f>
        <v>-6.6602948574841503E-2</v>
      </c>
      <c r="E11" s="62">
        <f>('02 - Projeções'!M11-'02 - Projeções'!M10)/'02 - Projeções'!M10</f>
        <v>0.10698466769948885</v>
      </c>
    </row>
    <row r="12" spans="1:9" x14ac:dyDescent="0.2">
      <c r="A12" s="67">
        <f t="shared" ref="A12:B27" si="1">A11+1</f>
        <v>2019</v>
      </c>
      <c r="B12" s="77">
        <f t="shared" si="1"/>
        <v>2</v>
      </c>
      <c r="C12" s="78">
        <f ca="1">'02 - Projeções'!L12/'02 - Projeções'!C12</f>
        <v>0.48003771693804587</v>
      </c>
      <c r="D12" s="78">
        <f t="shared" ca="1" si="0"/>
        <v>-6.4253963083731325E-2</v>
      </c>
      <c r="E12" s="62">
        <f>('02 - Projeções'!M12-'02 - Projeções'!M11)/'02 - Projeções'!M11</f>
        <v>9.545299298594502E-2</v>
      </c>
    </row>
    <row r="13" spans="1:9" x14ac:dyDescent="0.2">
      <c r="A13" s="67">
        <f t="shared" si="1"/>
        <v>2020</v>
      </c>
      <c r="B13" s="77">
        <f t="shared" si="1"/>
        <v>3</v>
      </c>
      <c r="C13" s="78">
        <f ca="1">'02 - Projeções'!L13/'02 - Projeções'!C13</f>
        <v>0.48121868615108843</v>
      </c>
      <c r="D13" s="78">
        <f t="shared" ca="1" si="0"/>
        <v>-6.1951878847780861E-2</v>
      </c>
      <c r="E13" s="62">
        <f>('02 - Projeções'!M13-'02 - Projeções'!M12)/'02 - Projeções'!M12</f>
        <v>7.7651625646417727E-2</v>
      </c>
    </row>
    <row r="14" spans="1:9" x14ac:dyDescent="0.2">
      <c r="A14" s="67">
        <f t="shared" si="1"/>
        <v>2021</v>
      </c>
      <c r="B14" s="77">
        <f t="shared" si="1"/>
        <v>4</v>
      </c>
      <c r="C14" s="78">
        <f ca="1">'02 - Projeções'!L14/'02 - Projeções'!C14</f>
        <v>0.482353607706687</v>
      </c>
      <c r="D14" s="78">
        <f t="shared" ca="1" si="0"/>
        <v>-5.9739556127315852E-2</v>
      </c>
      <c r="E14" s="62">
        <f>('02 - Projeções'!M14-'02 - Projeções'!M13)/'02 - Projeções'!M13</f>
        <v>7.5953996461343862E-2</v>
      </c>
    </row>
    <row r="15" spans="1:9" x14ac:dyDescent="0.2">
      <c r="A15" s="67">
        <f t="shared" si="1"/>
        <v>2022</v>
      </c>
      <c r="B15" s="77">
        <f t="shared" si="1"/>
        <v>5</v>
      </c>
      <c r="C15" s="78">
        <f ca="1">'02 - Projeções'!L15/'02 - Projeções'!C15</f>
        <v>0.48344311826340297</v>
      </c>
      <c r="D15" s="78">
        <f t="shared" ca="1" si="0"/>
        <v>-5.7615753872508835E-2</v>
      </c>
      <c r="E15" s="62">
        <f>('02 - Projeções'!M15-'02 - Projeções'!M14)/'02 - Projeções'!M14</f>
        <v>7.2136361852339695E-2</v>
      </c>
    </row>
    <row r="16" spans="1:9" x14ac:dyDescent="0.2">
      <c r="A16" s="67">
        <f t="shared" si="1"/>
        <v>2023</v>
      </c>
      <c r="B16" s="77">
        <f t="shared" si="1"/>
        <v>6</v>
      </c>
      <c r="C16" s="78">
        <f ca="1">'02 - Projeções'!L16/'02 - Projeções'!C16</f>
        <v>0.48446608251191153</v>
      </c>
      <c r="D16" s="78">
        <f t="shared" ca="1" si="0"/>
        <v>-5.5621671516741689E-2</v>
      </c>
      <c r="E16" s="62">
        <f>('02 - Projeções'!M16-'02 - Projeções'!M15)/'02 - Projeções'!M15</f>
        <v>6.7620061517689581E-2</v>
      </c>
    </row>
    <row r="17" spans="1:5" x14ac:dyDescent="0.2">
      <c r="A17" s="67">
        <f t="shared" si="1"/>
        <v>2024</v>
      </c>
      <c r="B17" s="77">
        <f t="shared" si="1"/>
        <v>7</v>
      </c>
      <c r="C17" s="78">
        <f ca="1">'02 - Projeções'!L17/'02 - Projeções'!C17</f>
        <v>0.48546682206611969</v>
      </c>
      <c r="D17" s="78">
        <f t="shared" ca="1" si="0"/>
        <v>-5.3670912151813521E-2</v>
      </c>
      <c r="E17" s="62">
        <f>('02 - Projeções'!M17-'02 - Projeções'!M16)/'02 - Projeções'!M16</f>
        <v>6.9118474727963883E-2</v>
      </c>
    </row>
    <row r="18" spans="1:5" x14ac:dyDescent="0.2">
      <c r="A18" s="67">
        <f t="shared" si="1"/>
        <v>2025</v>
      </c>
      <c r="B18" s="77">
        <f t="shared" si="1"/>
        <v>8</v>
      </c>
      <c r="C18" s="78">
        <f ca="1">'02 - Projeções'!L18/'02 - Projeções'!C18</f>
        <v>0.48642401715380384</v>
      </c>
      <c r="D18" s="78">
        <f t="shared" ca="1" si="0"/>
        <v>-5.1805034787906767E-2</v>
      </c>
      <c r="E18" s="62">
        <f>('02 - Projeções'!M18-'02 - Projeções'!M17)/'02 - Projeções'!M17</f>
        <v>6.5608930482095221E-2</v>
      </c>
    </row>
    <row r="19" spans="1:5" x14ac:dyDescent="0.2">
      <c r="A19" s="67">
        <f t="shared" si="1"/>
        <v>2026</v>
      </c>
      <c r="B19" s="77">
        <f t="shared" si="1"/>
        <v>9</v>
      </c>
      <c r="C19" s="78">
        <f ca="1">'02 - Projeções'!L19/'02 - Projeções'!C19</f>
        <v>0.48733827659357404</v>
      </c>
      <c r="D19" s="78">
        <f t="shared" ca="1" si="0"/>
        <v>-5.002285264410522E-2</v>
      </c>
      <c r="E19" s="62">
        <f>('02 - Projeções'!M19-'02 - Projeções'!M18)/'02 - Projeções'!M18</f>
        <v>5.4832784272393284E-2</v>
      </c>
    </row>
    <row r="20" spans="1:5" x14ac:dyDescent="0.2">
      <c r="A20" s="67">
        <f t="shared" si="1"/>
        <v>2027</v>
      </c>
      <c r="B20" s="77">
        <f t="shared" si="1"/>
        <v>10</v>
      </c>
      <c r="C20" s="78">
        <f ca="1">'02 - Projeções'!L20/'02 - Projeções'!C20</f>
        <v>0.48818910655425429</v>
      </c>
      <c r="D20" s="78">
        <f t="shared" ca="1" si="0"/>
        <v>-4.8364314709056E-2</v>
      </c>
      <c r="E20" s="62">
        <f>('02 - Projeções'!M20-'02 - Projeções'!M19)/'02 - Projeções'!M19</f>
        <v>5.1499492847988881E-2</v>
      </c>
    </row>
    <row r="21" spans="1:5" x14ac:dyDescent="0.2">
      <c r="A21" s="67">
        <f t="shared" si="1"/>
        <v>2028</v>
      </c>
      <c r="B21" s="77">
        <f t="shared" si="1"/>
        <v>11</v>
      </c>
      <c r="C21" s="78">
        <f ca="1">'02 - Projeções'!L21/'02 - Projeções'!C21</f>
        <v>0.48901945809096414</v>
      </c>
      <c r="D21" s="78">
        <f t="shared" ca="1" si="0"/>
        <v>-4.67456957291148E-2</v>
      </c>
      <c r="E21" s="62">
        <f>('02 - Projeções'!M21-'02 - Projeções'!M20)/'02 - Projeções'!M20</f>
        <v>5.234632810419728E-2</v>
      </c>
    </row>
    <row r="22" spans="1:5" x14ac:dyDescent="0.2">
      <c r="A22" s="67">
        <f t="shared" si="1"/>
        <v>2029</v>
      </c>
      <c r="B22" s="77">
        <f t="shared" si="1"/>
        <v>12</v>
      </c>
      <c r="C22" s="78">
        <f ca="1">'02 - Projeções'!L22/'02 - Projeções'!C22</f>
        <v>0.48980865870478496</v>
      </c>
      <c r="D22" s="78">
        <f t="shared" ca="1" si="0"/>
        <v>-4.5207292973128754E-2</v>
      </c>
      <c r="E22" s="62">
        <f>('02 - Projeções'!M22-'02 - Projeções'!M21)/'02 - Projeções'!M21</f>
        <v>4.5873516111644308E-2</v>
      </c>
    </row>
    <row r="23" spans="1:5" x14ac:dyDescent="0.2">
      <c r="A23" s="67">
        <f t="shared" si="1"/>
        <v>2030</v>
      </c>
      <c r="B23" s="77">
        <f t="shared" si="1"/>
        <v>13</v>
      </c>
      <c r="C23" s="78">
        <f ca="1">'02 - Projeções'!L23/'02 - Projeções'!C23</f>
        <v>0.49053668286535296</v>
      </c>
      <c r="D23" s="78">
        <f t="shared" ca="1" si="0"/>
        <v>-4.3788142562664834E-2</v>
      </c>
      <c r="E23" s="62">
        <f>('02 - Projeções'!M23-'02 - Projeções'!M22)/'02 - Projeções'!M22</f>
        <v>4.0357276807586023E-2</v>
      </c>
    </row>
    <row r="24" spans="1:5" x14ac:dyDescent="0.2">
      <c r="A24" s="67">
        <f t="shared" si="1"/>
        <v>2031</v>
      </c>
      <c r="B24" s="77">
        <f t="shared" si="1"/>
        <v>14</v>
      </c>
      <c r="C24" s="78">
        <f ca="1">'02 - Projeções'!L24/'02 - Projeções'!C24</f>
        <v>0.49124548159274839</v>
      </c>
      <c r="D24" s="78">
        <f t="shared" ca="1" si="0"/>
        <v>-4.2406468630120098E-2</v>
      </c>
      <c r="E24" s="62">
        <f>('02 - Projeções'!M24-'02 - Projeções'!M23)/'02 - Projeções'!M23</f>
        <v>3.6190698866336003E-2</v>
      </c>
    </row>
    <row r="25" spans="1:5" x14ac:dyDescent="0.2">
      <c r="A25" s="67">
        <f t="shared" si="1"/>
        <v>2032</v>
      </c>
      <c r="B25" s="77">
        <f t="shared" si="1"/>
        <v>15</v>
      </c>
      <c r="C25" s="78">
        <f ca="1">'02 - Projeções'!L25/'02 - Projeções'!C25</f>
        <v>0.49191485491548886</v>
      </c>
      <c r="D25" s="78">
        <f t="shared" ca="1" si="0"/>
        <v>-4.1101647338228409E-2</v>
      </c>
      <c r="E25" s="62">
        <f>('02 - Projeções'!M25-'02 - Projeções'!M24)/'02 - Projeções'!M24</f>
        <v>3.6513459957679344E-2</v>
      </c>
    </row>
    <row r="26" spans="1:5" x14ac:dyDescent="0.2">
      <c r="A26" s="67">
        <f t="shared" si="1"/>
        <v>2033</v>
      </c>
      <c r="B26" s="77">
        <f t="shared" si="1"/>
        <v>16</v>
      </c>
      <c r="C26" s="78">
        <f ca="1">'02 - Projeções'!L26/'02 - Projeções'!C26</f>
        <v>0.48878093072113188</v>
      </c>
      <c r="D26" s="78">
        <f t="shared" ca="1" si="0"/>
        <v>-4.7210661362315998E-2</v>
      </c>
      <c r="E26" s="62">
        <f>('02 - Projeções'!M26-'02 - Projeções'!M25)/'02 - Projeções'!M25</f>
        <v>3.9791852066132359E-2</v>
      </c>
    </row>
    <row r="27" spans="1:5" x14ac:dyDescent="0.2">
      <c r="A27" s="67">
        <f t="shared" si="1"/>
        <v>2034</v>
      </c>
      <c r="B27" s="77">
        <f t="shared" si="1"/>
        <v>17</v>
      </c>
      <c r="C27" s="78">
        <f ca="1">'02 - Projeções'!L27/'02 - Projeções'!C27</f>
        <v>0.48566723746869411</v>
      </c>
      <c r="D27" s="78">
        <f t="shared" ca="1" si="0"/>
        <v>-5.3280238852448147E-2</v>
      </c>
      <c r="E27" s="62">
        <f>('02 - Projeções'!M27-'02 - Projeções'!M26)/'02 - Projeções'!M26</f>
        <v>3.1737483769993836E-2</v>
      </c>
    </row>
    <row r="28" spans="1:5" x14ac:dyDescent="0.2">
      <c r="A28" s="67">
        <f t="shared" ref="A28:B43" si="2">A27+1</f>
        <v>2035</v>
      </c>
      <c r="B28" s="77">
        <f t="shared" si="2"/>
        <v>18</v>
      </c>
      <c r="C28" s="78">
        <f ca="1">'02 - Projeções'!L28/'02 - Projeções'!C28</f>
        <v>0.48257364262083574</v>
      </c>
      <c r="D28" s="78">
        <f t="shared" ca="1" si="0"/>
        <v>-5.9310638166012231E-2</v>
      </c>
      <c r="E28" s="62">
        <f>('02 - Projeções'!M28-'02 - Projeções'!M27)/'02 - Projeções'!M27</f>
        <v>3.0438928106554804E-2</v>
      </c>
    </row>
    <row r="29" spans="1:5" x14ac:dyDescent="0.2">
      <c r="A29" s="67">
        <f t="shared" si="2"/>
        <v>2036</v>
      </c>
      <c r="B29" s="77">
        <f t="shared" si="2"/>
        <v>19</v>
      </c>
      <c r="C29" s="78">
        <f ca="1">'02 - Projeções'!L29/'02 - Projeções'!C29</f>
        <v>0.47950001452246643</v>
      </c>
      <c r="D29" s="78">
        <f t="shared" ca="1" si="0"/>
        <v>-6.5302115940611305E-2</v>
      </c>
      <c r="E29" s="62">
        <f>('02 - Projeções'!M29-'02 - Projeções'!M28)/'02 - Projeções'!M28</f>
        <v>2.3490401866750641E-2</v>
      </c>
    </row>
    <row r="30" spans="1:5" x14ac:dyDescent="0.2">
      <c r="A30" s="67">
        <f t="shared" si="2"/>
        <v>2037</v>
      </c>
      <c r="B30" s="77">
        <f t="shared" si="2"/>
        <v>20</v>
      </c>
      <c r="C30" s="78">
        <f ca="1">'02 - Projeções'!L30/'02 - Projeções'!C30</f>
        <v>0.47644622239477341</v>
      </c>
      <c r="D30" s="78">
        <f t="shared" ca="1" si="0"/>
        <v>-7.1254927105704913E-2</v>
      </c>
      <c r="E30" s="62">
        <f>('02 - Projeções'!M30-'02 - Projeções'!M29)/'02 - Projeções'!M29</f>
        <v>2.2582718321340345E-2</v>
      </c>
    </row>
    <row r="31" spans="1:5" x14ac:dyDescent="0.2">
      <c r="A31" s="67">
        <f t="shared" si="2"/>
        <v>2038</v>
      </c>
      <c r="B31" s="77">
        <f t="shared" si="2"/>
        <v>21</v>
      </c>
      <c r="C31" s="78">
        <f ca="1">'02 - Projeções'!L31/'02 - Projeções'!C31</f>
        <v>0.47341213632929136</v>
      </c>
      <c r="D31" s="78">
        <f t="shared" ca="1" si="0"/>
        <v>-7.7169324894168945E-2</v>
      </c>
      <c r="E31" s="62">
        <f>('02 - Projeções'!M31-'02 - Projeções'!M30)/'02 - Projeções'!M30</f>
        <v>2.1675065516041436E-2</v>
      </c>
    </row>
    <row r="32" spans="1:5" x14ac:dyDescent="0.2">
      <c r="A32" s="67">
        <f t="shared" si="2"/>
        <v>2039</v>
      </c>
      <c r="B32" s="77">
        <f t="shared" si="2"/>
        <v>22</v>
      </c>
      <c r="C32" s="78">
        <f ca="1">'02 - Projeções'!L32/'02 - Projeções'!C32</f>
        <v>0.4703976272820114</v>
      </c>
      <c r="D32" s="78">
        <f t="shared" ca="1" si="0"/>
        <v>-8.304556085377901E-2</v>
      </c>
      <c r="E32" s="62">
        <f>('02 - Projeções'!M32-'02 - Projeções'!M31)/'02 - Projeções'!M31</f>
        <v>1.6849542737914218E-2</v>
      </c>
    </row>
    <row r="33" spans="1:5" x14ac:dyDescent="0.2">
      <c r="A33" s="67">
        <f t="shared" si="2"/>
        <v>2040</v>
      </c>
      <c r="B33" s="77">
        <f t="shared" si="2"/>
        <v>23</v>
      </c>
      <c r="C33" s="78">
        <f ca="1">'02 - Projeções'!L33/'02 - Projeções'!C33</f>
        <v>0.46740256706753203</v>
      </c>
      <c r="D33" s="78">
        <f t="shared" ca="1" si="0"/>
        <v>-8.8883884858612094E-2</v>
      </c>
      <c r="E33" s="62">
        <f>('02 - Projeções'!M33-'02 - Projeções'!M32)/'02 - Projeções'!M32</f>
        <v>1.558506755075848E-2</v>
      </c>
    </row>
    <row r="34" spans="1:5" x14ac:dyDescent="0.2">
      <c r="A34" s="67">
        <f t="shared" si="2"/>
        <v>2041</v>
      </c>
      <c r="B34" s="77">
        <f t="shared" si="2"/>
        <v>24</v>
      </c>
      <c r="C34" s="78">
        <f ca="1">'02 - Projeções'!L34/'02 - Projeções'!C34</f>
        <v>0.46442682835324955</v>
      </c>
      <c r="D34" s="78">
        <f t="shared" ca="1" si="0"/>
        <v>-9.4684545120371277E-2</v>
      </c>
      <c r="E34" s="62">
        <f>('02 - Projeções'!M34-'02 - Projeções'!M33)/'02 - Projeções'!M33</f>
        <v>1.321859393686816E-2</v>
      </c>
    </row>
    <row r="35" spans="1:5" x14ac:dyDescent="0.2">
      <c r="A35" s="67">
        <f t="shared" si="2"/>
        <v>2042</v>
      </c>
      <c r="B35" s="77">
        <f t="shared" si="2"/>
        <v>25</v>
      </c>
      <c r="C35" s="78">
        <f ca="1">'02 - Projeções'!L35/'02 - Projeções'!C35</f>
        <v>0.46147028465358908</v>
      </c>
      <c r="D35" s="78">
        <f t="shared" ca="1" si="0"/>
        <v>-0.1004477881996314</v>
      </c>
      <c r="E35" s="62">
        <f>('02 - Projeções'!M35-'02 - Projeções'!M34)/'02 - Projeções'!M34</f>
        <v>1.054103836445414E-2</v>
      </c>
    </row>
    <row r="36" spans="1:5" x14ac:dyDescent="0.2">
      <c r="A36" s="67">
        <f t="shared" si="2"/>
        <v>2043</v>
      </c>
      <c r="B36" s="77">
        <f t="shared" si="2"/>
        <v>26</v>
      </c>
      <c r="C36" s="78">
        <f ca="1">'02 - Projeções'!L36/'02 - Projeções'!C36</f>
        <v>0.46124991851785468</v>
      </c>
      <c r="D36" s="78">
        <f t="shared" ca="1" si="0"/>
        <v>-0.10087735181704738</v>
      </c>
      <c r="E36" s="62">
        <f>('02 - Projeções'!M36-'02 - Projeções'!M35)/'02 - Projeções'!M35</f>
        <v>1.1925645712805941E-2</v>
      </c>
    </row>
    <row r="37" spans="1:5" x14ac:dyDescent="0.2">
      <c r="A37" s="67">
        <f t="shared" si="2"/>
        <v>2044</v>
      </c>
      <c r="B37" s="77">
        <f>B36+1</f>
        <v>27</v>
      </c>
      <c r="C37" s="78">
        <f ca="1">'02 - Projeções'!L37/'02 - Projeções'!C37</f>
        <v>0.46076209843393912</v>
      </c>
      <c r="D37" s="78">
        <f t="shared" ca="1" si="0"/>
        <v>-0.10182826815996271</v>
      </c>
      <c r="E37" s="62">
        <f>('02 - Projeções'!M37-'02 - Projeções'!M36)/'02 - Projeções'!M36</f>
        <v>-3.7754539361723689E-2</v>
      </c>
    </row>
    <row r="38" spans="1:5" x14ac:dyDescent="0.2">
      <c r="A38" s="67">
        <f t="shared" si="2"/>
        <v>2045</v>
      </c>
      <c r="B38" s="77">
        <f t="shared" si="2"/>
        <v>28</v>
      </c>
      <c r="C38" s="78">
        <f ca="1">'02 - Projeções'!L38/'02 - Projeções'!C38</f>
        <v>0.46006613169893712</v>
      </c>
      <c r="D38" s="78">
        <f t="shared" ca="1" si="0"/>
        <v>-0.10318492846211091</v>
      </c>
      <c r="E38" s="62">
        <f>('02 - Projeções'!M38-'02 - Projeções'!M37)/'02 - Projeções'!M37</f>
        <v>-4.1295144946315622E-2</v>
      </c>
    </row>
    <row r="39" spans="1:5" x14ac:dyDescent="0.2">
      <c r="A39" s="67">
        <f t="shared" si="2"/>
        <v>2046</v>
      </c>
      <c r="B39" s="77">
        <f t="shared" si="2"/>
        <v>29</v>
      </c>
      <c r="C39" s="78">
        <f ca="1">'02 - Projeções'!L39/'02 - Projeções'!C39</f>
        <v>0.45953962812987842</v>
      </c>
      <c r="D39" s="78">
        <f t="shared" ca="1" si="0"/>
        <v>-0.10421125120881403</v>
      </c>
      <c r="E39" s="62">
        <f>('02 - Projeções'!M39-'02 - Projeções'!M38)/'02 - Projeções'!M38</f>
        <v>-4.4327705775985847E-2</v>
      </c>
    </row>
    <row r="40" spans="1:5" x14ac:dyDescent="0.2">
      <c r="A40" s="67">
        <f t="shared" si="2"/>
        <v>2047</v>
      </c>
      <c r="B40" s="77">
        <f t="shared" si="2"/>
        <v>30</v>
      </c>
      <c r="C40" s="78">
        <f ca="1">'02 - Projeções'!L40/'02 - Projeções'!C40</f>
        <v>0.45878620570868189</v>
      </c>
      <c r="D40" s="78">
        <f t="shared" ca="1" si="0"/>
        <v>-0.10567991089925555</v>
      </c>
      <c r="E40" s="62">
        <f>('02 - Projeções'!M40-'02 - Projeções'!M39)/'02 - Projeções'!M39</f>
        <v>-4.6153640535274418E-2</v>
      </c>
    </row>
    <row r="41" spans="1:5" x14ac:dyDescent="0.2">
      <c r="A41" s="67">
        <f t="shared" si="2"/>
        <v>2048</v>
      </c>
      <c r="B41" s="77">
        <f t="shared" si="2"/>
        <v>31</v>
      </c>
      <c r="C41" s="78">
        <f ca="1">'02 - Projeções'!L41/'02 - Projeções'!C41</f>
        <v>0.45828761507548105</v>
      </c>
      <c r="D41" s="78">
        <f t="shared" ca="1" si="0"/>
        <v>-0.1066518224649492</v>
      </c>
      <c r="E41" s="62">
        <f>('02 - Projeções'!M41-'02 - Projeções'!M40)/'02 - Projeções'!M40</f>
        <v>-5.0241749293221338E-2</v>
      </c>
    </row>
    <row r="42" spans="1:5" x14ac:dyDescent="0.2">
      <c r="A42" s="67">
        <f t="shared" si="2"/>
        <v>2049</v>
      </c>
      <c r="B42" s="77">
        <f t="shared" si="2"/>
        <v>32</v>
      </c>
      <c r="C42" s="78">
        <f ca="1">'02 - Projeções'!L42/'02 - Projeções'!C42</f>
        <v>0.4579863595791509</v>
      </c>
      <c r="D42" s="78">
        <f t="shared" ca="1" si="0"/>
        <v>-0.10723906514785397</v>
      </c>
      <c r="E42" s="62">
        <f>('02 - Projeções'!M42-'02 - Projeções'!M41)/'02 - Projeções'!M41</f>
        <v>-5.2535506362188608E-2</v>
      </c>
    </row>
    <row r="43" spans="1:5" x14ac:dyDescent="0.2">
      <c r="A43" s="67">
        <f t="shared" si="2"/>
        <v>2050</v>
      </c>
      <c r="B43" s="77">
        <f t="shared" si="2"/>
        <v>33</v>
      </c>
      <c r="C43" s="78">
        <f ca="1">'02 - Projeções'!L43/'02 - Projeções'!C43</f>
        <v>0.45743988892676057</v>
      </c>
      <c r="D43" s="78">
        <f t="shared" ca="1" si="0"/>
        <v>-0.10830431008428743</v>
      </c>
      <c r="E43" s="62">
        <f>('02 - Projeções'!M43-'02 - Projeções'!M42)/'02 - Projeções'!M42</f>
        <v>-5.5330343705999582E-2</v>
      </c>
    </row>
    <row r="44" spans="1:5" x14ac:dyDescent="0.2">
      <c r="A44" s="67">
        <f>A43+1</f>
        <v>2051</v>
      </c>
      <c r="B44" s="77">
        <f>B43+1</f>
        <v>34</v>
      </c>
      <c r="C44" s="78">
        <f ca="1">'02 - Projeções'!L44/'02 - Projeções'!C44</f>
        <v>0.45734293276512689</v>
      </c>
      <c r="D44" s="78">
        <f t="shared" ca="1" si="0"/>
        <v>-0.10849330845004512</v>
      </c>
      <c r="E44" s="62">
        <f>('02 - Projeções'!M44-'02 - Projeções'!M43)/'02 - Projeções'!M43</f>
        <v>-5.7994206291620082E-2</v>
      </c>
    </row>
    <row r="45" spans="1:5" ht="13.5" thickBot="1" x14ac:dyDescent="0.25">
      <c r="A45" s="79">
        <f>A44+1</f>
        <v>2052</v>
      </c>
      <c r="B45" s="80">
        <f>B44+1</f>
        <v>35</v>
      </c>
      <c r="C45" s="81">
        <f ca="1">'02 - Projeções'!L45/'02 - Projeções'!C45</f>
        <v>0.45704816924369868</v>
      </c>
      <c r="D45" s="81">
        <f t="shared" ca="1" si="0"/>
        <v>-0.10906789621111368</v>
      </c>
      <c r="E45" s="82">
        <f>('02 - Projeções'!M45-'02 - Projeções'!M44)/'02 - Projeções'!M44</f>
        <v>-6.143680109284777E-2</v>
      </c>
    </row>
    <row r="46" spans="1:5" s="69" customFormat="1" x14ac:dyDescent="0.2"/>
    <row r="47" spans="1:5" s="69" customFormat="1" x14ac:dyDescent="0.2"/>
    <row r="48" spans="1:5" s="69" customFormat="1" x14ac:dyDescent="0.2"/>
    <row r="49" s="69" customFormat="1" x14ac:dyDescent="0.2"/>
    <row r="50" s="69" customFormat="1" x14ac:dyDescent="0.2"/>
    <row r="51" s="69" customFormat="1" x14ac:dyDescent="0.2"/>
    <row r="52" s="69" customFormat="1" x14ac:dyDescent="0.2"/>
    <row r="53" s="69" customFormat="1" x14ac:dyDescent="0.2"/>
    <row r="54" s="69" customFormat="1" x14ac:dyDescent="0.2"/>
    <row r="55" s="69" customFormat="1" x14ac:dyDescent="0.2"/>
    <row r="56" s="69" customFormat="1" x14ac:dyDescent="0.2"/>
    <row r="57" s="69" customFormat="1" x14ac:dyDescent="0.2"/>
    <row r="58" s="69" customFormat="1" x14ac:dyDescent="0.2"/>
    <row r="59" s="69" customFormat="1" x14ac:dyDescent="0.2"/>
    <row r="60" s="69" customFormat="1" x14ac:dyDescent="0.2"/>
    <row r="61" s="69" customFormat="1" x14ac:dyDescent="0.2"/>
    <row r="62" s="69" customFormat="1" x14ac:dyDescent="0.2"/>
    <row r="63" s="69" customFormat="1" x14ac:dyDescent="0.2"/>
    <row r="64" s="69" customFormat="1" x14ac:dyDescent="0.2"/>
    <row r="65" s="69" customFormat="1" x14ac:dyDescent="0.2"/>
    <row r="66" s="69" customFormat="1" x14ac:dyDescent="0.2"/>
    <row r="67" s="69" customFormat="1" x14ac:dyDescent="0.2"/>
    <row r="68" s="69" customFormat="1" x14ac:dyDescent="0.2"/>
    <row r="69" s="69" customFormat="1" x14ac:dyDescent="0.2"/>
    <row r="82" spans="3:4" s="70" customFormat="1" x14ac:dyDescent="0.2">
      <c r="C82" s="68"/>
      <c r="D82" s="68"/>
    </row>
  </sheetData>
  <mergeCells count="1"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Anexo 1 - Desp. Pessoal </vt:lpstr>
      <vt:lpstr>01- Histórico</vt:lpstr>
      <vt:lpstr>02 - Projeções</vt:lpstr>
      <vt:lpstr>03 - Indicadores </vt:lpstr>
      <vt:lpstr>'01- Histórico'!Area_de_impressao</vt:lpstr>
      <vt:lpstr>'02 - Projeções'!Area_de_impressao</vt:lpstr>
      <vt:lpstr>'01- Histórico'!Titulos_de_impressao</vt:lpstr>
      <vt:lpstr>'02 - Projeções'!Titulos_de_impressao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MPS</cp:lastModifiedBy>
  <cp:lastPrinted>2018-03-20T16:59:30Z</cp:lastPrinted>
  <dcterms:created xsi:type="dcterms:W3CDTF">2001-09-06T15:18:59Z</dcterms:created>
  <dcterms:modified xsi:type="dcterms:W3CDTF">2018-05-16T13:46:23Z</dcterms:modified>
</cp:coreProperties>
</file>