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ose.neto\Desktop\"/>
    </mc:Choice>
  </mc:AlternateContent>
  <bookViews>
    <workbookView xWindow="0" yWindow="0" windowWidth="24000" windowHeight="9630" tabRatio="936"/>
  </bookViews>
  <sheets>
    <sheet name="Fluxo e Duração do Passivo" sheetId="11" r:id="rId1"/>
    <sheet name="Anexo 1 - Despesa com Pessoal " sheetId="7" r:id="rId2"/>
    <sheet name="01- Histórico" sheetId="8" r:id="rId3"/>
    <sheet name="02 - Projeções" sheetId="9" r:id="rId4"/>
    <sheet name="03 - Indicadores " sheetId="10" r:id="rId5"/>
  </sheets>
  <definedNames>
    <definedName name="\p">#N/A</definedName>
    <definedName name="\s">#N/A</definedName>
    <definedName name="a">#REF!,#REF!</definedName>
    <definedName name="AREA">#N/A</definedName>
    <definedName name="_xlnm.Print_Area" localSheetId="2">'01- Histórico'!$A$16:$C$28</definedName>
    <definedName name="_xlnm.Print_Area" localSheetId="3">'02 - Projeções'!$A$6:$K$43</definedName>
    <definedName name="BALA">#N/A</definedName>
    <definedName name="e">#REF!,#REF!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3">#REF!,#REF!</definedName>
    <definedName name="Planilha_1ÁreaTotal" localSheetId="1">#REF!,#REF!</definedName>
    <definedName name="Planilha_1ÁreaTotal">#REF!,#REF!</definedName>
    <definedName name="Planilha_1CabGráfico" localSheetId="3">#REF!</definedName>
    <definedName name="Planilha_1CabGráfico" localSheetId="1">#REF!</definedName>
    <definedName name="Planilha_1CabGráfico">#REF!</definedName>
    <definedName name="Planilha_1TítCols" localSheetId="3">#REF!,#REF!</definedName>
    <definedName name="Planilha_1TítCols" localSheetId="1">#REF!,#REF!</definedName>
    <definedName name="Planilha_1TítCols">#REF!,#REF!</definedName>
    <definedName name="Planilha_1TítLins" localSheetId="3">#REF!</definedName>
    <definedName name="Planilha_1TítLins" localSheetId="1">#REF!</definedName>
    <definedName name="Planilha_1TítLins">#REF!</definedName>
    <definedName name="Planilha_2ÁreaTotal" localSheetId="3">#REF!,#REF!</definedName>
    <definedName name="Planilha_2ÁreaTotal" localSheetId="1">#REF!,#REF!</definedName>
    <definedName name="Planilha_2ÁreaTotal">#REF!,#REF!</definedName>
    <definedName name="Planilha_2CabGráfico" localSheetId="3">#REF!</definedName>
    <definedName name="Planilha_2CabGráfico" localSheetId="1">#REF!</definedName>
    <definedName name="Planilha_2CabGráfico">#REF!</definedName>
    <definedName name="Planilha_2TítCols" localSheetId="3">#REF!,#REF!</definedName>
    <definedName name="Planilha_2TítCols" localSheetId="1">#REF!,#REF!</definedName>
    <definedName name="Planilha_2TítCols">#REF!,#REF!</definedName>
    <definedName name="Planilha_2TítLins" localSheetId="3">#REF!</definedName>
    <definedName name="Planilha_2TítLins" localSheetId="1">#REF!</definedName>
    <definedName name="Planilha_2TítLins">#REF!</definedName>
    <definedName name="Planilha_3ÁreaTotal" localSheetId="3">#REF!,#REF!</definedName>
    <definedName name="Planilha_3ÁreaTotal" localSheetId="1">#REF!,#REF!</definedName>
    <definedName name="Planilha_3ÁreaTotal">#REF!,#REF!</definedName>
    <definedName name="Planilha_3CabGráfico" localSheetId="3">#REF!</definedName>
    <definedName name="Planilha_3CabGráfico" localSheetId="1">#REF!</definedName>
    <definedName name="Planilha_3CabGráfico">#REF!</definedName>
    <definedName name="Planilha_3TítCols" localSheetId="3">#REF!,#REF!</definedName>
    <definedName name="Planilha_3TítCols" localSheetId="1">#REF!,#REF!</definedName>
    <definedName name="Planilha_3TítCols">#REF!,#REF!</definedName>
    <definedName name="Planilha_3TítLins" localSheetId="3">#REF!</definedName>
    <definedName name="Planilha_3TítLins" localSheetId="1">#REF!</definedName>
    <definedName name="Planilha_3TítLins">#REF!</definedName>
    <definedName name="Planilha_4ÁreaTotal" localSheetId="3">#REF!,#REF!</definedName>
    <definedName name="Planilha_4ÁreaTotal" localSheetId="1">#REF!,#REF!</definedName>
    <definedName name="Planilha_4ÁreaTotal">#REF!,#REF!</definedName>
    <definedName name="Planilha_4TítCols" localSheetId="3">#REF!,#REF!</definedName>
    <definedName name="Planilha_4TítCols" localSheetId="1">#REF!,#REF!</definedName>
    <definedName name="Planilha_4TítCols">#REF!,#REF!</definedName>
    <definedName name="_xlnm.Print_Titles" localSheetId="2">'01- Histórico'!$16:$17</definedName>
    <definedName name="_xlnm.Print_Titles" localSheetId="3">'02 - Projeções'!$6:$7</definedName>
  </definedNames>
  <calcPr calcId="162913"/>
</workbook>
</file>

<file path=xl/calcChain.xml><?xml version="1.0" encoding="utf-8"?>
<calcChain xmlns="http://schemas.openxmlformats.org/spreadsheetml/2006/main">
  <c r="B11" i="8" l="1"/>
  <c r="D10" i="11"/>
  <c r="C9" i="8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I8" i="9"/>
  <c r="H8" i="9"/>
  <c r="E8" i="9"/>
  <c r="BI160" i="11"/>
  <c r="BH160" i="11"/>
  <c r="BG160" i="11"/>
  <c r="BF160" i="11"/>
  <c r="BE160" i="11"/>
  <c r="BD160" i="11"/>
  <c r="BC160" i="11"/>
  <c r="BB160" i="11"/>
  <c r="BA160" i="11"/>
  <c r="AY160" i="11"/>
  <c r="AX160" i="11"/>
  <c r="AW160" i="11"/>
  <c r="AV160" i="11"/>
  <c r="AU160" i="11"/>
  <c r="AT160" i="11"/>
  <c r="AQ160" i="11"/>
  <c r="AP160" i="11"/>
  <c r="AO160" i="11"/>
  <c r="AN160" i="11"/>
  <c r="AM160" i="11"/>
  <c r="AL160" i="11"/>
  <c r="AK160" i="11"/>
  <c r="AJ160" i="11"/>
  <c r="AI160" i="11"/>
  <c r="AG160" i="11"/>
  <c r="AF160" i="11"/>
  <c r="AE160" i="11"/>
  <c r="AD160" i="11"/>
  <c r="AB160" i="11"/>
  <c r="AA160" i="11"/>
  <c r="Z160" i="11"/>
  <c r="Y160" i="11"/>
  <c r="X160" i="11"/>
  <c r="W160" i="11"/>
  <c r="V160" i="11"/>
  <c r="T160" i="11"/>
  <c r="S160" i="11"/>
  <c r="R160" i="11"/>
  <c r="Q160" i="11"/>
  <c r="P160" i="11"/>
  <c r="O160" i="11"/>
  <c r="N160" i="11"/>
  <c r="L160" i="11"/>
  <c r="K160" i="11"/>
  <c r="J160" i="11"/>
  <c r="I160" i="11"/>
  <c r="H160" i="11"/>
  <c r="G160" i="11"/>
  <c r="E160" i="11"/>
  <c r="BM159" i="11"/>
  <c r="AZ159" i="11"/>
  <c r="AS159" i="11"/>
  <c r="AH159" i="11"/>
  <c r="AC159" i="11"/>
  <c r="U159" i="11"/>
  <c r="M159" i="11"/>
  <c r="F159" i="11"/>
  <c r="BM158" i="11"/>
  <c r="AZ158" i="11"/>
  <c r="AS158" i="11"/>
  <c r="AH158" i="11"/>
  <c r="AC158" i="11"/>
  <c r="U158" i="11"/>
  <c r="M158" i="11"/>
  <c r="F158" i="11"/>
  <c r="BM157" i="11"/>
  <c r="AZ157" i="11"/>
  <c r="AS157" i="11"/>
  <c r="AH157" i="11"/>
  <c r="AC157" i="11"/>
  <c r="U157" i="11"/>
  <c r="M157" i="11"/>
  <c r="F157" i="11"/>
  <c r="BM156" i="11"/>
  <c r="AZ156" i="11"/>
  <c r="AS156" i="11"/>
  <c r="AH156" i="11"/>
  <c r="AC156" i="11"/>
  <c r="U156" i="11"/>
  <c r="M156" i="11"/>
  <c r="F156" i="11"/>
  <c r="BM155" i="11"/>
  <c r="AZ155" i="11"/>
  <c r="AS155" i="11"/>
  <c r="AH155" i="11"/>
  <c r="AC155" i="11"/>
  <c r="U155" i="11"/>
  <c r="M155" i="11"/>
  <c r="F155" i="11"/>
  <c r="BM154" i="11"/>
  <c r="AZ154" i="11"/>
  <c r="AS154" i="11"/>
  <c r="AH154" i="11"/>
  <c r="AC154" i="11"/>
  <c r="U154" i="11"/>
  <c r="M154" i="11"/>
  <c r="F154" i="11"/>
  <c r="BM153" i="11"/>
  <c r="AZ153" i="11"/>
  <c r="AS153" i="11"/>
  <c r="AH153" i="11"/>
  <c r="AC153" i="11"/>
  <c r="U153" i="11"/>
  <c r="M153" i="11"/>
  <c r="F153" i="11"/>
  <c r="BM152" i="11"/>
  <c r="AZ152" i="11"/>
  <c r="AS152" i="11"/>
  <c r="AH152" i="11"/>
  <c r="AC152" i="11"/>
  <c r="U152" i="11"/>
  <c r="M152" i="11"/>
  <c r="F152" i="11"/>
  <c r="BM151" i="11"/>
  <c r="AZ151" i="11"/>
  <c r="AS151" i="11"/>
  <c r="AH151" i="11"/>
  <c r="AC151" i="11"/>
  <c r="U151" i="11"/>
  <c r="M151" i="11"/>
  <c r="F151" i="11"/>
  <c r="BM150" i="11"/>
  <c r="AZ150" i="11"/>
  <c r="AS150" i="11"/>
  <c r="AH150" i="11"/>
  <c r="AC150" i="11"/>
  <c r="U150" i="11"/>
  <c r="M150" i="11"/>
  <c r="F150" i="11"/>
  <c r="BM149" i="11"/>
  <c r="AZ149" i="11"/>
  <c r="AS149" i="11"/>
  <c r="AH149" i="11"/>
  <c r="AC149" i="11"/>
  <c r="U149" i="11"/>
  <c r="M149" i="11"/>
  <c r="F149" i="11"/>
  <c r="BM148" i="11"/>
  <c r="AZ148" i="11"/>
  <c r="AS148" i="11"/>
  <c r="AH148" i="11"/>
  <c r="AC148" i="11"/>
  <c r="U148" i="11"/>
  <c r="M148" i="11"/>
  <c r="F148" i="11"/>
  <c r="BM147" i="11"/>
  <c r="AZ147" i="11"/>
  <c r="AS147" i="11"/>
  <c r="AH147" i="11"/>
  <c r="AC147" i="11"/>
  <c r="U147" i="11"/>
  <c r="M147" i="11"/>
  <c r="F147" i="11"/>
  <c r="BM146" i="11"/>
  <c r="AZ146" i="11"/>
  <c r="AS146" i="11"/>
  <c r="AH146" i="11"/>
  <c r="AC146" i="11"/>
  <c r="U146" i="11"/>
  <c r="M146" i="11"/>
  <c r="F146" i="11"/>
  <c r="BM145" i="11"/>
  <c r="AZ145" i="11"/>
  <c r="AS145" i="11"/>
  <c r="AH145" i="11"/>
  <c r="AC145" i="11"/>
  <c r="U145" i="11"/>
  <c r="M145" i="11"/>
  <c r="F145" i="11"/>
  <c r="BM144" i="11"/>
  <c r="AZ144" i="11"/>
  <c r="AS144" i="11"/>
  <c r="AH144" i="11"/>
  <c r="AC144" i="11"/>
  <c r="U144" i="11"/>
  <c r="M144" i="11"/>
  <c r="F144" i="11"/>
  <c r="BM143" i="11"/>
  <c r="AZ143" i="11"/>
  <c r="AS143" i="11"/>
  <c r="AH143" i="11"/>
  <c r="AC143" i="11"/>
  <c r="U143" i="11"/>
  <c r="M143" i="11"/>
  <c r="F143" i="11"/>
  <c r="BM142" i="11"/>
  <c r="AZ142" i="11"/>
  <c r="AS142" i="11"/>
  <c r="AH142" i="11"/>
  <c r="AC142" i="11"/>
  <c r="U142" i="11"/>
  <c r="M142" i="11"/>
  <c r="F142" i="11"/>
  <c r="BM141" i="11"/>
  <c r="AZ141" i="11"/>
  <c r="AS141" i="11"/>
  <c r="AH141" i="11"/>
  <c r="AC141" i="11"/>
  <c r="U141" i="11"/>
  <c r="M141" i="11"/>
  <c r="F141" i="11"/>
  <c r="BM140" i="11"/>
  <c r="AZ140" i="11"/>
  <c r="AS140" i="11"/>
  <c r="AH140" i="11"/>
  <c r="AC140" i="11"/>
  <c r="U140" i="11"/>
  <c r="M140" i="11"/>
  <c r="F140" i="11"/>
  <c r="BM139" i="11"/>
  <c r="AZ139" i="11"/>
  <c r="AS139" i="11"/>
  <c r="AH139" i="11"/>
  <c r="AC139" i="11"/>
  <c r="U139" i="11"/>
  <c r="M139" i="11"/>
  <c r="F139" i="11"/>
  <c r="BM138" i="11"/>
  <c r="AZ138" i="11"/>
  <c r="AS138" i="11"/>
  <c r="AH138" i="11"/>
  <c r="AC138" i="11"/>
  <c r="U138" i="11"/>
  <c r="M138" i="11"/>
  <c r="F138" i="11"/>
  <c r="BM137" i="11"/>
  <c r="AZ137" i="11"/>
  <c r="AS137" i="11"/>
  <c r="AH137" i="11"/>
  <c r="AC137" i="11"/>
  <c r="U137" i="11"/>
  <c r="M137" i="11"/>
  <c r="F137" i="11"/>
  <c r="BM136" i="11"/>
  <c r="AZ136" i="11"/>
  <c r="AS136" i="11"/>
  <c r="AH136" i="11"/>
  <c r="AC136" i="11"/>
  <c r="U136" i="11"/>
  <c r="M136" i="11"/>
  <c r="F136" i="11"/>
  <c r="BM135" i="11"/>
  <c r="AZ135" i="11"/>
  <c r="AS135" i="11"/>
  <c r="AH135" i="11"/>
  <c r="AC135" i="11"/>
  <c r="U135" i="11"/>
  <c r="M135" i="11"/>
  <c r="F135" i="11"/>
  <c r="BM134" i="11"/>
  <c r="AZ134" i="11"/>
  <c r="AS134" i="11"/>
  <c r="AH134" i="11"/>
  <c r="AC134" i="11"/>
  <c r="U134" i="11"/>
  <c r="M134" i="11"/>
  <c r="F134" i="11"/>
  <c r="BM133" i="11"/>
  <c r="AZ133" i="11"/>
  <c r="AS133" i="11"/>
  <c r="AH133" i="11"/>
  <c r="AC133" i="11"/>
  <c r="U133" i="11"/>
  <c r="M133" i="11"/>
  <c r="F133" i="11"/>
  <c r="BM132" i="11"/>
  <c r="AZ132" i="11"/>
  <c r="AS132" i="11"/>
  <c r="AH132" i="11"/>
  <c r="AC132" i="11"/>
  <c r="U132" i="11"/>
  <c r="M132" i="11"/>
  <c r="F132" i="11"/>
  <c r="BM131" i="11"/>
  <c r="AZ131" i="11"/>
  <c r="AS131" i="11"/>
  <c r="AH131" i="11"/>
  <c r="AC131" i="11"/>
  <c r="U131" i="11"/>
  <c r="M131" i="11"/>
  <c r="F131" i="11"/>
  <c r="BM130" i="11"/>
  <c r="AZ130" i="11"/>
  <c r="AS130" i="11"/>
  <c r="AH130" i="11"/>
  <c r="AC130" i="11"/>
  <c r="U130" i="11"/>
  <c r="M130" i="11"/>
  <c r="F130" i="11"/>
  <c r="BM129" i="11"/>
  <c r="AZ129" i="11"/>
  <c r="AS129" i="11"/>
  <c r="AH129" i="11"/>
  <c r="AC129" i="11"/>
  <c r="U129" i="11"/>
  <c r="M129" i="11"/>
  <c r="F129" i="11"/>
  <c r="BM128" i="11"/>
  <c r="AZ128" i="11"/>
  <c r="AS128" i="11"/>
  <c r="AH128" i="11"/>
  <c r="AC128" i="11"/>
  <c r="U128" i="11"/>
  <c r="M128" i="11"/>
  <c r="F128" i="11"/>
  <c r="BM127" i="11"/>
  <c r="AZ127" i="11"/>
  <c r="AS127" i="11"/>
  <c r="AH127" i="11"/>
  <c r="AC127" i="11"/>
  <c r="U127" i="11"/>
  <c r="M127" i="11"/>
  <c r="F127" i="11"/>
  <c r="BM126" i="11"/>
  <c r="AZ126" i="11"/>
  <c r="AS126" i="11"/>
  <c r="AH126" i="11"/>
  <c r="AC126" i="11"/>
  <c r="U126" i="11"/>
  <c r="M126" i="11"/>
  <c r="F126" i="11"/>
  <c r="BM125" i="11"/>
  <c r="AZ125" i="11"/>
  <c r="AS125" i="11"/>
  <c r="AH125" i="11"/>
  <c r="AC125" i="11"/>
  <c r="U125" i="11"/>
  <c r="M125" i="11"/>
  <c r="F125" i="11"/>
  <c r="BM124" i="11"/>
  <c r="AZ124" i="11"/>
  <c r="AS124" i="11"/>
  <c r="AH124" i="11"/>
  <c r="AC124" i="11"/>
  <c r="U124" i="11"/>
  <c r="M124" i="11"/>
  <c r="F124" i="11"/>
  <c r="BM123" i="11"/>
  <c r="AZ123" i="11"/>
  <c r="AS123" i="11"/>
  <c r="AH123" i="11"/>
  <c r="AC123" i="11"/>
  <c r="U123" i="11"/>
  <c r="M123" i="11"/>
  <c r="F123" i="11"/>
  <c r="BM122" i="11"/>
  <c r="AZ122" i="11"/>
  <c r="AS122" i="11"/>
  <c r="AH122" i="11"/>
  <c r="AC122" i="11"/>
  <c r="U122" i="11"/>
  <c r="M122" i="11"/>
  <c r="F122" i="11"/>
  <c r="BM121" i="11"/>
  <c r="AZ121" i="11"/>
  <c r="AS121" i="11"/>
  <c r="AH121" i="11"/>
  <c r="AC121" i="11"/>
  <c r="U121" i="11"/>
  <c r="M121" i="11"/>
  <c r="F121" i="11"/>
  <c r="BM120" i="11"/>
  <c r="AZ120" i="11"/>
  <c r="AS120" i="11"/>
  <c r="AH120" i="11"/>
  <c r="AC120" i="11"/>
  <c r="U120" i="11"/>
  <c r="M120" i="11"/>
  <c r="F120" i="11"/>
  <c r="BM119" i="11"/>
  <c r="AZ119" i="11"/>
  <c r="AS119" i="11"/>
  <c r="AH119" i="11"/>
  <c r="AC119" i="11"/>
  <c r="U119" i="11"/>
  <c r="M119" i="11"/>
  <c r="F119" i="11"/>
  <c r="BM118" i="11"/>
  <c r="AZ118" i="11"/>
  <c r="AS118" i="11"/>
  <c r="AH118" i="11"/>
  <c r="AC118" i="11"/>
  <c r="U118" i="11"/>
  <c r="M118" i="11"/>
  <c r="F118" i="11"/>
  <c r="BM117" i="11"/>
  <c r="AZ117" i="11"/>
  <c r="AS117" i="11"/>
  <c r="AH117" i="11"/>
  <c r="AC117" i="11"/>
  <c r="U117" i="11"/>
  <c r="M117" i="11"/>
  <c r="F117" i="11"/>
  <c r="BM116" i="11"/>
  <c r="AZ116" i="11"/>
  <c r="AS116" i="11"/>
  <c r="AH116" i="11"/>
  <c r="AC116" i="11"/>
  <c r="U116" i="11"/>
  <c r="M116" i="11"/>
  <c r="F116" i="11"/>
  <c r="BM115" i="11"/>
  <c r="AZ115" i="11"/>
  <c r="AS115" i="11"/>
  <c r="AH115" i="11"/>
  <c r="AC115" i="11"/>
  <c r="U115" i="11"/>
  <c r="M115" i="11"/>
  <c r="F115" i="11"/>
  <c r="BM114" i="11"/>
  <c r="AZ114" i="11"/>
  <c r="AS114" i="11"/>
  <c r="AH114" i="11"/>
  <c r="AC114" i="11"/>
  <c r="U114" i="11"/>
  <c r="M114" i="11"/>
  <c r="F114" i="11"/>
  <c r="BM113" i="11"/>
  <c r="AZ113" i="11"/>
  <c r="AS113" i="11"/>
  <c r="AH113" i="11"/>
  <c r="AC113" i="11"/>
  <c r="U113" i="11"/>
  <c r="M113" i="11"/>
  <c r="F113" i="11"/>
  <c r="BM112" i="11"/>
  <c r="AZ112" i="11"/>
  <c r="AS112" i="11"/>
  <c r="AH112" i="11"/>
  <c r="AC112" i="11"/>
  <c r="U112" i="11"/>
  <c r="M112" i="11"/>
  <c r="F112" i="11"/>
  <c r="BM111" i="11"/>
  <c r="AZ111" i="11"/>
  <c r="AS111" i="11"/>
  <c r="AH111" i="11"/>
  <c r="AC111" i="11"/>
  <c r="U111" i="11"/>
  <c r="M111" i="11"/>
  <c r="F111" i="11"/>
  <c r="BM110" i="11"/>
  <c r="AZ110" i="11"/>
  <c r="AS110" i="11"/>
  <c r="AH110" i="11"/>
  <c r="AC110" i="11"/>
  <c r="U110" i="11"/>
  <c r="M110" i="11"/>
  <c r="F110" i="11"/>
  <c r="BM109" i="11"/>
  <c r="AZ109" i="11"/>
  <c r="AS109" i="11"/>
  <c r="AH109" i="11"/>
  <c r="AC109" i="11"/>
  <c r="U109" i="11"/>
  <c r="M109" i="11"/>
  <c r="F109" i="11"/>
  <c r="BM108" i="11"/>
  <c r="AZ108" i="11"/>
  <c r="AS108" i="11"/>
  <c r="AH108" i="11"/>
  <c r="AC108" i="11"/>
  <c r="U108" i="11"/>
  <c r="M108" i="11"/>
  <c r="F108" i="11"/>
  <c r="BM107" i="11"/>
  <c r="AZ107" i="11"/>
  <c r="AS107" i="11"/>
  <c r="AH107" i="11"/>
  <c r="AC107" i="11"/>
  <c r="U107" i="11"/>
  <c r="M107" i="11"/>
  <c r="F107" i="11"/>
  <c r="BM106" i="11"/>
  <c r="AZ106" i="11"/>
  <c r="AS106" i="11"/>
  <c r="AH106" i="11"/>
  <c r="AC106" i="11"/>
  <c r="U106" i="11"/>
  <c r="M106" i="11"/>
  <c r="F106" i="11"/>
  <c r="BM105" i="11"/>
  <c r="AZ105" i="11"/>
  <c r="AS105" i="11"/>
  <c r="AH105" i="11"/>
  <c r="AC105" i="11"/>
  <c r="U105" i="11"/>
  <c r="M105" i="11"/>
  <c r="F105" i="11"/>
  <c r="BM104" i="11"/>
  <c r="AZ104" i="11"/>
  <c r="AS104" i="11"/>
  <c r="AH104" i="11"/>
  <c r="AC104" i="11"/>
  <c r="U104" i="11"/>
  <c r="M104" i="11"/>
  <c r="F104" i="11"/>
  <c r="BM103" i="11"/>
  <c r="AZ103" i="11"/>
  <c r="AS103" i="11"/>
  <c r="AH103" i="11"/>
  <c r="AC103" i="11"/>
  <c r="U103" i="11"/>
  <c r="M103" i="11"/>
  <c r="F103" i="11"/>
  <c r="BM102" i="11"/>
  <c r="AZ102" i="11"/>
  <c r="AS102" i="11"/>
  <c r="AH102" i="11"/>
  <c r="AC102" i="11"/>
  <c r="U102" i="11"/>
  <c r="M102" i="11"/>
  <c r="F102" i="11"/>
  <c r="BM101" i="11"/>
  <c r="AZ101" i="11"/>
  <c r="AS101" i="11"/>
  <c r="AH101" i="11"/>
  <c r="AC101" i="11"/>
  <c r="U101" i="11"/>
  <c r="M101" i="11"/>
  <c r="F101" i="11"/>
  <c r="BM100" i="11"/>
  <c r="AZ100" i="11"/>
  <c r="AS100" i="11"/>
  <c r="AH100" i="11"/>
  <c r="AC100" i="11"/>
  <c r="U100" i="11"/>
  <c r="M100" i="11"/>
  <c r="F100" i="11"/>
  <c r="BM99" i="11"/>
  <c r="AZ99" i="11"/>
  <c r="AS99" i="11"/>
  <c r="AH99" i="11"/>
  <c r="AC99" i="11"/>
  <c r="U99" i="11"/>
  <c r="M99" i="11"/>
  <c r="F99" i="11"/>
  <c r="BM98" i="11"/>
  <c r="AZ98" i="11"/>
  <c r="AS98" i="11"/>
  <c r="AH98" i="11"/>
  <c r="AC98" i="11"/>
  <c r="U98" i="11"/>
  <c r="M98" i="11"/>
  <c r="F98" i="11"/>
  <c r="BM97" i="11"/>
  <c r="AZ97" i="11"/>
  <c r="AS97" i="11"/>
  <c r="AH97" i="11"/>
  <c r="AC97" i="11"/>
  <c r="U97" i="11"/>
  <c r="M97" i="11"/>
  <c r="F97" i="11"/>
  <c r="BM96" i="11"/>
  <c r="AZ96" i="11"/>
  <c r="AS96" i="11"/>
  <c r="AH96" i="11"/>
  <c r="AC96" i="11"/>
  <c r="U96" i="11"/>
  <c r="M96" i="11"/>
  <c r="F96" i="11"/>
  <c r="BM95" i="11"/>
  <c r="AZ95" i="11"/>
  <c r="AS95" i="11"/>
  <c r="AH95" i="11"/>
  <c r="AC95" i="11"/>
  <c r="U95" i="11"/>
  <c r="M95" i="11"/>
  <c r="F95" i="11"/>
  <c r="BM94" i="11"/>
  <c r="AZ94" i="11"/>
  <c r="AS94" i="11"/>
  <c r="AH94" i="11"/>
  <c r="AC94" i="11"/>
  <c r="U94" i="11"/>
  <c r="M94" i="11"/>
  <c r="F94" i="11"/>
  <c r="BM93" i="11"/>
  <c r="AZ93" i="11"/>
  <c r="AS93" i="11"/>
  <c r="AH93" i="11"/>
  <c r="AC93" i="11"/>
  <c r="U93" i="11"/>
  <c r="M93" i="11"/>
  <c r="F93" i="11"/>
  <c r="BM92" i="11"/>
  <c r="AZ92" i="11"/>
  <c r="AS92" i="11"/>
  <c r="AH92" i="11"/>
  <c r="AC92" i="11"/>
  <c r="U92" i="11"/>
  <c r="M92" i="11"/>
  <c r="F92" i="11"/>
  <c r="BM91" i="11"/>
  <c r="AZ91" i="11"/>
  <c r="AS91" i="11"/>
  <c r="AH91" i="11"/>
  <c r="AC91" i="11"/>
  <c r="U91" i="11"/>
  <c r="M91" i="11"/>
  <c r="F91" i="11"/>
  <c r="BM90" i="11"/>
  <c r="AZ90" i="11"/>
  <c r="AS90" i="11"/>
  <c r="AH90" i="11"/>
  <c r="AC90" i="11"/>
  <c r="U90" i="11"/>
  <c r="M90" i="11"/>
  <c r="F90" i="11"/>
  <c r="BM89" i="11"/>
  <c r="AZ89" i="11"/>
  <c r="AS89" i="11"/>
  <c r="AH89" i="11"/>
  <c r="AC89" i="11"/>
  <c r="U89" i="11"/>
  <c r="M89" i="11"/>
  <c r="F89" i="11"/>
  <c r="BM88" i="11"/>
  <c r="AZ88" i="11"/>
  <c r="AS88" i="11"/>
  <c r="AH88" i="11"/>
  <c r="AC88" i="11"/>
  <c r="U88" i="11"/>
  <c r="M88" i="11"/>
  <c r="F88" i="11"/>
  <c r="BM87" i="11"/>
  <c r="AZ87" i="11"/>
  <c r="AS87" i="11"/>
  <c r="AH87" i="11"/>
  <c r="AC87" i="11"/>
  <c r="U87" i="11"/>
  <c r="M87" i="11"/>
  <c r="F87" i="11"/>
  <c r="BM86" i="11"/>
  <c r="AZ86" i="11"/>
  <c r="AS86" i="11"/>
  <c r="AH86" i="11"/>
  <c r="AC86" i="11"/>
  <c r="U86" i="11"/>
  <c r="M86" i="11"/>
  <c r="F86" i="11"/>
  <c r="BM85" i="11"/>
  <c r="AZ85" i="11"/>
  <c r="AS85" i="11"/>
  <c r="AH85" i="11"/>
  <c r="AC85" i="11"/>
  <c r="U85" i="11"/>
  <c r="M85" i="11"/>
  <c r="F85" i="11"/>
  <c r="BM84" i="11"/>
  <c r="AZ84" i="11"/>
  <c r="AS84" i="11"/>
  <c r="AH84" i="11"/>
  <c r="AC84" i="11"/>
  <c r="U84" i="11"/>
  <c r="M84" i="11"/>
  <c r="F84" i="11"/>
  <c r="BM83" i="11"/>
  <c r="AZ83" i="11"/>
  <c r="AS83" i="11"/>
  <c r="AH83" i="11"/>
  <c r="AC83" i="11"/>
  <c r="U83" i="11"/>
  <c r="M83" i="11"/>
  <c r="F83" i="11"/>
  <c r="BM82" i="11"/>
  <c r="AZ82" i="11"/>
  <c r="AS82" i="11"/>
  <c r="AH82" i="11"/>
  <c r="AC82" i="11"/>
  <c r="U82" i="11"/>
  <c r="M82" i="11"/>
  <c r="F82" i="11"/>
  <c r="BM81" i="11"/>
  <c r="AZ81" i="11"/>
  <c r="AS81" i="11"/>
  <c r="AH81" i="11"/>
  <c r="AC81" i="11"/>
  <c r="U81" i="11"/>
  <c r="M81" i="11"/>
  <c r="F81" i="11"/>
  <c r="BM80" i="11"/>
  <c r="AZ80" i="11"/>
  <c r="AS80" i="11"/>
  <c r="AH80" i="11"/>
  <c r="AC80" i="11"/>
  <c r="U80" i="11"/>
  <c r="M80" i="11"/>
  <c r="F80" i="11"/>
  <c r="BM79" i="11"/>
  <c r="AZ79" i="11"/>
  <c r="AS79" i="11"/>
  <c r="AH79" i="11"/>
  <c r="AC79" i="11"/>
  <c r="U79" i="11"/>
  <c r="M79" i="11"/>
  <c r="F79" i="11"/>
  <c r="BM78" i="11"/>
  <c r="AZ78" i="11"/>
  <c r="AS78" i="11"/>
  <c r="AH78" i="11"/>
  <c r="AC78" i="11"/>
  <c r="U78" i="11"/>
  <c r="M78" i="11"/>
  <c r="F78" i="11"/>
  <c r="BM77" i="11"/>
  <c r="AZ77" i="11"/>
  <c r="AS77" i="11"/>
  <c r="AH77" i="11"/>
  <c r="AC77" i="11"/>
  <c r="U77" i="11"/>
  <c r="M77" i="11"/>
  <c r="F77" i="11"/>
  <c r="BM76" i="11"/>
  <c r="AZ76" i="11"/>
  <c r="AS76" i="11"/>
  <c r="AH76" i="11"/>
  <c r="AC76" i="11"/>
  <c r="U76" i="11"/>
  <c r="M76" i="11"/>
  <c r="F76" i="11"/>
  <c r="BM75" i="11"/>
  <c r="AZ75" i="11"/>
  <c r="AS75" i="11"/>
  <c r="AH75" i="11"/>
  <c r="AC75" i="11"/>
  <c r="U75" i="11"/>
  <c r="M75" i="11"/>
  <c r="F75" i="11"/>
  <c r="BM74" i="11"/>
  <c r="AZ74" i="11"/>
  <c r="AS74" i="11"/>
  <c r="AH74" i="11"/>
  <c r="AC74" i="11"/>
  <c r="U74" i="11"/>
  <c r="M74" i="11"/>
  <c r="F74" i="11"/>
  <c r="BM73" i="11"/>
  <c r="AZ73" i="11"/>
  <c r="AS73" i="11"/>
  <c r="AH73" i="11"/>
  <c r="AC73" i="11"/>
  <c r="U73" i="11"/>
  <c r="M73" i="11"/>
  <c r="F73" i="11"/>
  <c r="BM72" i="11"/>
  <c r="AZ72" i="11"/>
  <c r="AS72" i="11"/>
  <c r="AH72" i="11"/>
  <c r="AC72" i="11"/>
  <c r="U72" i="11"/>
  <c r="M72" i="11"/>
  <c r="F72" i="11"/>
  <c r="BM71" i="11"/>
  <c r="AZ71" i="11"/>
  <c r="AS71" i="11"/>
  <c r="AH71" i="11"/>
  <c r="AC71" i="11"/>
  <c r="U71" i="11"/>
  <c r="M71" i="11"/>
  <c r="F71" i="11"/>
  <c r="BM70" i="11"/>
  <c r="AZ70" i="11"/>
  <c r="AS70" i="11"/>
  <c r="AH70" i="11"/>
  <c r="AC70" i="11"/>
  <c r="U70" i="11"/>
  <c r="M70" i="11"/>
  <c r="F70" i="11"/>
  <c r="BM69" i="11"/>
  <c r="AZ69" i="11"/>
  <c r="AS69" i="11"/>
  <c r="AH69" i="11"/>
  <c r="AC69" i="11"/>
  <c r="U69" i="11"/>
  <c r="M69" i="11"/>
  <c r="F69" i="11"/>
  <c r="BM68" i="11"/>
  <c r="AZ68" i="11"/>
  <c r="AS68" i="11"/>
  <c r="AH68" i="11"/>
  <c r="AC68" i="11"/>
  <c r="U68" i="11"/>
  <c r="M68" i="11"/>
  <c r="F68" i="11"/>
  <c r="BM67" i="11"/>
  <c r="AZ67" i="11"/>
  <c r="AS67" i="11"/>
  <c r="AH67" i="11"/>
  <c r="AC67" i="11"/>
  <c r="U67" i="11"/>
  <c r="M67" i="11"/>
  <c r="F67" i="11"/>
  <c r="BM66" i="11"/>
  <c r="AZ66" i="11"/>
  <c r="AS66" i="11"/>
  <c r="AH66" i="11"/>
  <c r="AC66" i="11"/>
  <c r="U66" i="11"/>
  <c r="M66" i="11"/>
  <c r="F66" i="11"/>
  <c r="BM65" i="11"/>
  <c r="AZ65" i="11"/>
  <c r="AS65" i="11"/>
  <c r="AH65" i="11"/>
  <c r="AC65" i="11"/>
  <c r="U65" i="11"/>
  <c r="M65" i="11"/>
  <c r="F65" i="11"/>
  <c r="BM64" i="11"/>
  <c r="AZ64" i="11"/>
  <c r="AS64" i="11"/>
  <c r="AH64" i="11"/>
  <c r="AC64" i="11"/>
  <c r="U64" i="11"/>
  <c r="M64" i="11"/>
  <c r="F64" i="11"/>
  <c r="BM63" i="11"/>
  <c r="AZ63" i="11"/>
  <c r="AS63" i="11"/>
  <c r="AH63" i="11"/>
  <c r="AC63" i="11"/>
  <c r="U63" i="11"/>
  <c r="M63" i="11"/>
  <c r="F63" i="11"/>
  <c r="BM62" i="11"/>
  <c r="AZ62" i="11"/>
  <c r="AS62" i="11"/>
  <c r="AH62" i="11"/>
  <c r="AC62" i="11"/>
  <c r="U62" i="11"/>
  <c r="M62" i="11"/>
  <c r="F62" i="11"/>
  <c r="BM61" i="11"/>
  <c r="AZ61" i="11"/>
  <c r="AS61" i="11"/>
  <c r="AH61" i="11"/>
  <c r="AC61" i="11"/>
  <c r="U61" i="11"/>
  <c r="M61" i="11"/>
  <c r="F61" i="11"/>
  <c r="BM60" i="11"/>
  <c r="AZ60" i="11"/>
  <c r="AS60" i="11"/>
  <c r="AH60" i="11"/>
  <c r="AC60" i="11"/>
  <c r="U60" i="11"/>
  <c r="M60" i="11"/>
  <c r="F60" i="11"/>
  <c r="BM59" i="11"/>
  <c r="AZ59" i="11"/>
  <c r="AS59" i="11"/>
  <c r="AH59" i="11"/>
  <c r="AC59" i="11"/>
  <c r="U59" i="11"/>
  <c r="M59" i="11"/>
  <c r="F59" i="11"/>
  <c r="BM58" i="11"/>
  <c r="AZ58" i="11"/>
  <c r="AS58" i="11"/>
  <c r="AH58" i="11"/>
  <c r="AC58" i="11"/>
  <c r="U58" i="11"/>
  <c r="M58" i="11"/>
  <c r="F58" i="11"/>
  <c r="BM57" i="11"/>
  <c r="AZ57" i="11"/>
  <c r="AS57" i="11"/>
  <c r="AH57" i="11"/>
  <c r="AC57" i="11"/>
  <c r="U57" i="11"/>
  <c r="M57" i="11"/>
  <c r="F57" i="11"/>
  <c r="BM56" i="11"/>
  <c r="AZ56" i="11"/>
  <c r="AS56" i="11"/>
  <c r="AH56" i="11"/>
  <c r="AC56" i="11"/>
  <c r="U56" i="11"/>
  <c r="M56" i="11"/>
  <c r="F56" i="11"/>
  <c r="BM55" i="11"/>
  <c r="AZ55" i="11"/>
  <c r="AS55" i="11"/>
  <c r="AH55" i="11"/>
  <c r="AC55" i="11"/>
  <c r="U55" i="11"/>
  <c r="M55" i="11"/>
  <c r="F55" i="11"/>
  <c r="BM54" i="11"/>
  <c r="AZ54" i="11"/>
  <c r="AS54" i="11"/>
  <c r="AH54" i="11"/>
  <c r="AC54" i="11"/>
  <c r="U54" i="11"/>
  <c r="M54" i="11"/>
  <c r="F54" i="11"/>
  <c r="BM53" i="11"/>
  <c r="AZ53" i="11"/>
  <c r="AS53" i="11"/>
  <c r="AH53" i="11"/>
  <c r="AC53" i="11"/>
  <c r="U53" i="11"/>
  <c r="M53" i="11"/>
  <c r="F53" i="11"/>
  <c r="BM52" i="11"/>
  <c r="AZ52" i="11"/>
  <c r="AS52" i="11"/>
  <c r="AH52" i="11"/>
  <c r="AC52" i="11"/>
  <c r="U52" i="11"/>
  <c r="M52" i="11"/>
  <c r="F52" i="11"/>
  <c r="BM51" i="11"/>
  <c r="AZ51" i="11"/>
  <c r="AS51" i="11"/>
  <c r="AH51" i="11"/>
  <c r="AC51" i="11"/>
  <c r="U51" i="11"/>
  <c r="M51" i="11"/>
  <c r="F51" i="11"/>
  <c r="BM50" i="11"/>
  <c r="AZ50" i="11"/>
  <c r="AS50" i="11"/>
  <c r="AH50" i="11"/>
  <c r="AC50" i="11"/>
  <c r="U50" i="11"/>
  <c r="M50" i="11"/>
  <c r="F50" i="11"/>
  <c r="BM49" i="11"/>
  <c r="AZ49" i="11"/>
  <c r="AS49" i="11"/>
  <c r="AH49" i="11"/>
  <c r="AC49" i="11"/>
  <c r="U49" i="11"/>
  <c r="M49" i="11"/>
  <c r="F49" i="11"/>
  <c r="BM48" i="11"/>
  <c r="AZ48" i="11"/>
  <c r="AS48" i="11"/>
  <c r="AH48" i="11"/>
  <c r="AC48" i="11"/>
  <c r="U48" i="11"/>
  <c r="M48" i="11"/>
  <c r="F48" i="11"/>
  <c r="BM47" i="11"/>
  <c r="AZ47" i="11"/>
  <c r="AS47" i="11"/>
  <c r="AH47" i="11"/>
  <c r="AC47" i="11"/>
  <c r="U47" i="11"/>
  <c r="M47" i="11"/>
  <c r="F47" i="11"/>
  <c r="BM46" i="11"/>
  <c r="AZ46" i="11"/>
  <c r="AS46" i="11"/>
  <c r="AH46" i="11"/>
  <c r="AC46" i="11"/>
  <c r="U46" i="11"/>
  <c r="M46" i="11"/>
  <c r="F46" i="11"/>
  <c r="BM45" i="11"/>
  <c r="AZ45" i="11"/>
  <c r="AS45" i="11"/>
  <c r="AH45" i="11"/>
  <c r="AC45" i="11"/>
  <c r="U45" i="11"/>
  <c r="M45" i="11"/>
  <c r="G43" i="9" s="1"/>
  <c r="F45" i="11"/>
  <c r="BM44" i="11"/>
  <c r="AZ44" i="11"/>
  <c r="AS44" i="11"/>
  <c r="AH44" i="11"/>
  <c r="AC44" i="11"/>
  <c r="U44" i="11"/>
  <c r="M44" i="11"/>
  <c r="G42" i="9" s="1"/>
  <c r="F44" i="11"/>
  <c r="BM43" i="11"/>
  <c r="AZ43" i="11"/>
  <c r="AS43" i="11"/>
  <c r="AH43" i="11"/>
  <c r="AC43" i="11"/>
  <c r="U43" i="11"/>
  <c r="M43" i="11"/>
  <c r="G41" i="9" s="1"/>
  <c r="F43" i="11"/>
  <c r="BM42" i="11"/>
  <c r="AZ42" i="11"/>
  <c r="AS42" i="11"/>
  <c r="AH42" i="11"/>
  <c r="AC42" i="11"/>
  <c r="U42" i="11"/>
  <c r="M42" i="11"/>
  <c r="G40" i="9" s="1"/>
  <c r="F42" i="11"/>
  <c r="BM41" i="11"/>
  <c r="AZ41" i="11"/>
  <c r="AS41" i="11"/>
  <c r="AH41" i="11"/>
  <c r="AC41" i="11"/>
  <c r="U41" i="11"/>
  <c r="M41" i="11"/>
  <c r="G39" i="9" s="1"/>
  <c r="F41" i="11"/>
  <c r="BM40" i="11"/>
  <c r="AZ40" i="11"/>
  <c r="AS40" i="11"/>
  <c r="AH40" i="11"/>
  <c r="AC40" i="11"/>
  <c r="U40" i="11"/>
  <c r="M40" i="11"/>
  <c r="G38" i="9" s="1"/>
  <c r="F40" i="11"/>
  <c r="BM39" i="11"/>
  <c r="AZ39" i="11"/>
  <c r="AS39" i="11"/>
  <c r="AH39" i="11"/>
  <c r="AC39" i="11"/>
  <c r="U39" i="11"/>
  <c r="M39" i="11"/>
  <c r="G37" i="9" s="1"/>
  <c r="F39" i="11"/>
  <c r="BM38" i="11"/>
  <c r="AZ38" i="11"/>
  <c r="AS38" i="11"/>
  <c r="AH38" i="11"/>
  <c r="AC38" i="11"/>
  <c r="U38" i="11"/>
  <c r="M38" i="11"/>
  <c r="G36" i="9" s="1"/>
  <c r="F38" i="11"/>
  <c r="BM37" i="11"/>
  <c r="AZ37" i="11"/>
  <c r="AS37" i="11"/>
  <c r="AH37" i="11"/>
  <c r="AC37" i="11"/>
  <c r="U37" i="11"/>
  <c r="M37" i="11"/>
  <c r="G35" i="9" s="1"/>
  <c r="F37" i="11"/>
  <c r="BM36" i="11"/>
  <c r="AZ36" i="11"/>
  <c r="AS36" i="11"/>
  <c r="AH36" i="11"/>
  <c r="AC36" i="11"/>
  <c r="U36" i="11"/>
  <c r="M36" i="11"/>
  <c r="G34" i="9" s="1"/>
  <c r="F36" i="11"/>
  <c r="BM35" i="11"/>
  <c r="AZ35" i="11"/>
  <c r="AS35" i="11"/>
  <c r="AH35" i="11"/>
  <c r="AC35" i="11"/>
  <c r="U35" i="11"/>
  <c r="M35" i="11"/>
  <c r="G33" i="9" s="1"/>
  <c r="F35" i="11"/>
  <c r="BM34" i="11"/>
  <c r="AZ34" i="11"/>
  <c r="AS34" i="11"/>
  <c r="AH34" i="11"/>
  <c r="AC34" i="11"/>
  <c r="U34" i="11"/>
  <c r="M34" i="11"/>
  <c r="G32" i="9" s="1"/>
  <c r="F34" i="11"/>
  <c r="BM33" i="11"/>
  <c r="AZ33" i="11"/>
  <c r="AS33" i="11"/>
  <c r="AH33" i="11"/>
  <c r="AC33" i="11"/>
  <c r="U33" i="11"/>
  <c r="M33" i="11"/>
  <c r="F33" i="11"/>
  <c r="BM32" i="11"/>
  <c r="AZ32" i="11"/>
  <c r="AS32" i="11"/>
  <c r="AH32" i="11"/>
  <c r="AC32" i="11"/>
  <c r="U32" i="11"/>
  <c r="M32" i="11"/>
  <c r="G30" i="9" s="1"/>
  <c r="F32" i="11"/>
  <c r="BM31" i="11"/>
  <c r="AZ31" i="11"/>
  <c r="AS31" i="11"/>
  <c r="AH31" i="11"/>
  <c r="AC31" i="11"/>
  <c r="U31" i="11"/>
  <c r="M31" i="11"/>
  <c r="G29" i="9" s="1"/>
  <c r="F31" i="11"/>
  <c r="BM30" i="11"/>
  <c r="AZ30" i="11"/>
  <c r="AS30" i="11"/>
  <c r="AH30" i="11"/>
  <c r="AC30" i="11"/>
  <c r="U30" i="11"/>
  <c r="M30" i="11"/>
  <c r="F30" i="11"/>
  <c r="BM29" i="11"/>
  <c r="AZ29" i="11"/>
  <c r="AS29" i="11"/>
  <c r="AH29" i="11"/>
  <c r="AC29" i="11"/>
  <c r="U29" i="11"/>
  <c r="M29" i="11"/>
  <c r="G27" i="9" s="1"/>
  <c r="F29" i="11"/>
  <c r="BM28" i="11"/>
  <c r="AZ28" i="11"/>
  <c r="AS28" i="11"/>
  <c r="AH28" i="11"/>
  <c r="AC28" i="11"/>
  <c r="U28" i="11"/>
  <c r="M28" i="11"/>
  <c r="G26" i="9" s="1"/>
  <c r="F28" i="11"/>
  <c r="BM27" i="11"/>
  <c r="AZ27" i="11"/>
  <c r="AS27" i="11"/>
  <c r="AH27" i="11"/>
  <c r="AC27" i="11"/>
  <c r="U27" i="11"/>
  <c r="M27" i="11"/>
  <c r="F27" i="11"/>
  <c r="BM26" i="11"/>
  <c r="AZ26" i="11"/>
  <c r="AS26" i="11"/>
  <c r="AH26" i="11"/>
  <c r="AC26" i="11"/>
  <c r="U26" i="11"/>
  <c r="M26" i="11"/>
  <c r="G24" i="9" s="1"/>
  <c r="F26" i="11"/>
  <c r="BM25" i="11"/>
  <c r="AZ25" i="11"/>
  <c r="AS25" i="11"/>
  <c r="AH25" i="11"/>
  <c r="AC25" i="11"/>
  <c r="U25" i="11"/>
  <c r="M25" i="11"/>
  <c r="G23" i="9" s="1"/>
  <c r="F25" i="11"/>
  <c r="BM24" i="11"/>
  <c r="AZ24" i="11"/>
  <c r="AS24" i="11"/>
  <c r="AH24" i="11"/>
  <c r="AC24" i="11"/>
  <c r="U24" i="11"/>
  <c r="M24" i="11"/>
  <c r="G22" i="9" s="1"/>
  <c r="F24" i="11"/>
  <c r="BM23" i="11"/>
  <c r="AZ23" i="11"/>
  <c r="AS23" i="11"/>
  <c r="AH23" i="11"/>
  <c r="AC23" i="11"/>
  <c r="U23" i="11"/>
  <c r="M23" i="11"/>
  <c r="G21" i="9" s="1"/>
  <c r="F23" i="11"/>
  <c r="BM22" i="11"/>
  <c r="AZ22" i="11"/>
  <c r="AS22" i="11"/>
  <c r="AH22" i="11"/>
  <c r="AC22" i="11"/>
  <c r="U22" i="11"/>
  <c r="M22" i="11"/>
  <c r="G20" i="9" s="1"/>
  <c r="F22" i="11"/>
  <c r="BM21" i="11"/>
  <c r="AZ21" i="11"/>
  <c r="AS21" i="11"/>
  <c r="AH21" i="11"/>
  <c r="AC21" i="11"/>
  <c r="U21" i="11"/>
  <c r="M21" i="11"/>
  <c r="F21" i="11"/>
  <c r="BM20" i="11"/>
  <c r="AZ20" i="11"/>
  <c r="AS20" i="11"/>
  <c r="AH20" i="11"/>
  <c r="AC20" i="11"/>
  <c r="U20" i="11"/>
  <c r="M20" i="11"/>
  <c r="G18" i="9" s="1"/>
  <c r="F20" i="11"/>
  <c r="BM19" i="11"/>
  <c r="AZ19" i="11"/>
  <c r="AS19" i="11"/>
  <c r="AH19" i="11"/>
  <c r="AC19" i="11"/>
  <c r="U19" i="11"/>
  <c r="M19" i="11"/>
  <c r="G17" i="9" s="1"/>
  <c r="F19" i="11"/>
  <c r="BM18" i="11"/>
  <c r="AZ18" i="11"/>
  <c r="AS18" i="11"/>
  <c r="AH18" i="11"/>
  <c r="AC18" i="11"/>
  <c r="U18" i="11"/>
  <c r="M18" i="11"/>
  <c r="F18" i="11"/>
  <c r="BM17" i="11"/>
  <c r="AZ17" i="11"/>
  <c r="AS17" i="11"/>
  <c r="AH17" i="11"/>
  <c r="AC17" i="11"/>
  <c r="U17" i="11"/>
  <c r="M17" i="11"/>
  <c r="G15" i="9" s="1"/>
  <c r="F17" i="11"/>
  <c r="BM16" i="11"/>
  <c r="AZ16" i="11"/>
  <c r="AS16" i="11"/>
  <c r="AH16" i="11"/>
  <c r="AC16" i="11"/>
  <c r="U16" i="11"/>
  <c r="M16" i="11"/>
  <c r="G14" i="9" s="1"/>
  <c r="F16" i="11"/>
  <c r="BM15" i="11"/>
  <c r="AZ15" i="11"/>
  <c r="AS15" i="11"/>
  <c r="AH15" i="11"/>
  <c r="AC15" i="11"/>
  <c r="U15" i="11"/>
  <c r="M15" i="11"/>
  <c r="F15" i="11"/>
  <c r="BM14" i="11"/>
  <c r="AZ14" i="11"/>
  <c r="AS14" i="11"/>
  <c r="AH14" i="11"/>
  <c r="AC14" i="11"/>
  <c r="U14" i="11"/>
  <c r="M14" i="11"/>
  <c r="G12" i="9" s="1"/>
  <c r="F14" i="11"/>
  <c r="BM13" i="11"/>
  <c r="AZ13" i="11"/>
  <c r="AS13" i="11"/>
  <c r="AH13" i="11"/>
  <c r="AC13" i="11"/>
  <c r="U13" i="11"/>
  <c r="M13" i="11"/>
  <c r="G11" i="9" s="1"/>
  <c r="F13" i="11"/>
  <c r="BM12" i="11"/>
  <c r="AZ12" i="11"/>
  <c r="AS12" i="11"/>
  <c r="AH12" i="11"/>
  <c r="AC12" i="11"/>
  <c r="U12" i="11"/>
  <c r="M12" i="11"/>
  <c r="G10" i="9" s="1"/>
  <c r="F12" i="11"/>
  <c r="BM11" i="11"/>
  <c r="AZ11" i="11"/>
  <c r="AS11" i="11"/>
  <c r="AH11" i="11"/>
  <c r="AC11" i="11"/>
  <c r="U11" i="11"/>
  <c r="M11" i="11"/>
  <c r="G9" i="9" s="1"/>
  <c r="F11" i="11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A11" i="11"/>
  <c r="A12" i="11" s="1"/>
  <c r="BM10" i="11"/>
  <c r="AZ10" i="11"/>
  <c r="AS10" i="11"/>
  <c r="F8" i="9" s="1"/>
  <c r="AH10" i="11"/>
  <c r="AC10" i="11"/>
  <c r="U10" i="11"/>
  <c r="M10" i="11"/>
  <c r="G8" i="9" s="1"/>
  <c r="F10" i="11"/>
  <c r="D11" i="11"/>
  <c r="BJ41" i="11" l="1"/>
  <c r="BJ20" i="11"/>
  <c r="BJ26" i="11"/>
  <c r="BJ48" i="11"/>
  <c r="BJ57" i="11"/>
  <c r="BJ59" i="11"/>
  <c r="BJ69" i="11"/>
  <c r="BJ73" i="11"/>
  <c r="BJ74" i="11"/>
  <c r="BJ76" i="11"/>
  <c r="BJ77" i="11"/>
  <c r="BJ78" i="11"/>
  <c r="BJ81" i="11"/>
  <c r="BJ86" i="11"/>
  <c r="BJ87" i="11"/>
  <c r="BJ91" i="11"/>
  <c r="BJ92" i="11"/>
  <c r="BJ93" i="11"/>
  <c r="BJ95" i="11"/>
  <c r="BJ96" i="11"/>
  <c r="BJ101" i="11"/>
  <c r="BJ102" i="11"/>
  <c r="BJ104" i="11"/>
  <c r="BJ105" i="11"/>
  <c r="BJ116" i="11"/>
  <c r="BJ117" i="11"/>
  <c r="BJ121" i="11"/>
  <c r="BJ124" i="11"/>
  <c r="BJ125" i="11"/>
  <c r="BJ127" i="11"/>
  <c r="BJ129" i="11"/>
  <c r="BJ133" i="11"/>
  <c r="BJ136" i="11"/>
  <c r="BJ137" i="11"/>
  <c r="BJ138" i="11"/>
  <c r="BJ139" i="11"/>
  <c r="BJ142" i="11"/>
  <c r="BJ143" i="11"/>
  <c r="BJ144" i="11"/>
  <c r="BJ145" i="11"/>
  <c r="BJ148" i="11"/>
  <c r="BJ149" i="11"/>
  <c r="BJ150" i="11"/>
  <c r="BJ151" i="11"/>
  <c r="BJ153" i="11"/>
  <c r="BJ157" i="11"/>
  <c r="BJ159" i="11"/>
  <c r="F26" i="9"/>
  <c r="F28" i="9"/>
  <c r="F29" i="9"/>
  <c r="F30" i="9"/>
  <c r="BJ36" i="11"/>
  <c r="F35" i="9"/>
  <c r="F37" i="9"/>
  <c r="BJ107" i="11"/>
  <c r="BJ111" i="11"/>
  <c r="BJ42" i="11"/>
  <c r="AH160" i="11"/>
  <c r="AR107" i="11"/>
  <c r="AR78" i="11"/>
  <c r="BK78" i="11" s="1"/>
  <c r="AR147" i="11"/>
  <c r="AR148" i="11"/>
  <c r="AR155" i="11"/>
  <c r="AR37" i="11"/>
  <c r="AR38" i="11"/>
  <c r="AR39" i="11"/>
  <c r="F160" i="11"/>
  <c r="AR124" i="11"/>
  <c r="BK124" i="11" s="1"/>
  <c r="AR126" i="11"/>
  <c r="BJ27" i="11"/>
  <c r="AR29" i="11"/>
  <c r="BJ29" i="11"/>
  <c r="BJ40" i="11"/>
  <c r="F39" i="9"/>
  <c r="AR72" i="11"/>
  <c r="BJ75" i="11"/>
  <c r="AR87" i="11"/>
  <c r="BK87" i="11" s="1"/>
  <c r="AR88" i="11"/>
  <c r="BJ114" i="11"/>
  <c r="BJ122" i="11"/>
  <c r="BJ123" i="11"/>
  <c r="AR152" i="11"/>
  <c r="AR154" i="11"/>
  <c r="AR12" i="11"/>
  <c r="AR20" i="11"/>
  <c r="BK20" i="11" s="1"/>
  <c r="J18" i="9" s="1"/>
  <c r="BJ32" i="11"/>
  <c r="BJ33" i="11"/>
  <c r="BJ35" i="11"/>
  <c r="F41" i="9"/>
  <c r="BJ44" i="11"/>
  <c r="F43" i="9"/>
  <c r="BJ46" i="11"/>
  <c r="BJ47" i="11"/>
  <c r="AR57" i="11"/>
  <c r="AR62" i="11"/>
  <c r="AR65" i="11"/>
  <c r="BJ84" i="11"/>
  <c r="BJ90" i="11"/>
  <c r="AR102" i="11"/>
  <c r="BK102" i="11" s="1"/>
  <c r="AR138" i="11"/>
  <c r="AR151" i="11"/>
  <c r="F9" i="9"/>
  <c r="F10" i="9"/>
  <c r="AR15" i="11"/>
  <c r="F13" i="9"/>
  <c r="BJ16" i="11"/>
  <c r="F15" i="9"/>
  <c r="F16" i="9"/>
  <c r="F17" i="9"/>
  <c r="F19" i="9"/>
  <c r="F21" i="9"/>
  <c r="F22" i="9"/>
  <c r="F23" i="9"/>
  <c r="F24" i="9"/>
  <c r="AR31" i="11"/>
  <c r="AR32" i="11"/>
  <c r="AR41" i="11"/>
  <c r="AR51" i="11"/>
  <c r="BJ52" i="11"/>
  <c r="BJ53" i="11"/>
  <c r="BJ54" i="11"/>
  <c r="BJ60" i="11"/>
  <c r="BJ61" i="11"/>
  <c r="BJ62" i="11"/>
  <c r="BJ65" i="11"/>
  <c r="BJ66" i="11"/>
  <c r="AR79" i="11"/>
  <c r="AR80" i="11"/>
  <c r="AR81" i="11"/>
  <c r="AR98" i="11"/>
  <c r="BJ98" i="11"/>
  <c r="AR110" i="11"/>
  <c r="AR116" i="11"/>
  <c r="BK116" i="11" s="1"/>
  <c r="AR118" i="11"/>
  <c r="AR120" i="11"/>
  <c r="AR121" i="11"/>
  <c r="BK121" i="11" s="1"/>
  <c r="AR135" i="11"/>
  <c r="AR136" i="11"/>
  <c r="AR150" i="11"/>
  <c r="BK150" i="11" s="1"/>
  <c r="AR21" i="11"/>
  <c r="G19" i="9"/>
  <c r="F34" i="9"/>
  <c r="F18" i="9"/>
  <c r="AR11" i="11"/>
  <c r="BJ13" i="11"/>
  <c r="F11" i="9"/>
  <c r="BJ14" i="11"/>
  <c r="F12" i="9"/>
  <c r="AR30" i="11"/>
  <c r="G28" i="9"/>
  <c r="AR45" i="11"/>
  <c r="BP11" i="11"/>
  <c r="BQ11" i="11" s="1"/>
  <c r="BJ15" i="11"/>
  <c r="AR26" i="11"/>
  <c r="BK26" i="11" s="1"/>
  <c r="J24" i="9" s="1"/>
  <c r="BJ38" i="11"/>
  <c r="F36" i="9"/>
  <c r="BJ51" i="11"/>
  <c r="BJ22" i="11"/>
  <c r="F20" i="9"/>
  <c r="BJ12" i="11"/>
  <c r="AR17" i="11"/>
  <c r="AR18" i="11"/>
  <c r="G16" i="9"/>
  <c r="AR19" i="11"/>
  <c r="BJ21" i="11"/>
  <c r="AR35" i="11"/>
  <c r="AR55" i="11"/>
  <c r="AR56" i="11"/>
  <c r="AR59" i="11"/>
  <c r="F14" i="9"/>
  <c r="BJ17" i="11"/>
  <c r="AR23" i="11"/>
  <c r="BJ23" i="11"/>
  <c r="BJ30" i="11"/>
  <c r="AR34" i="11"/>
  <c r="BJ45" i="11"/>
  <c r="AR49" i="11"/>
  <c r="AR50" i="11"/>
  <c r="AR53" i="11"/>
  <c r="BJ56" i="11"/>
  <c r="BJ63" i="11"/>
  <c r="AR66" i="11"/>
  <c r="BJ67" i="11"/>
  <c r="BJ68" i="11"/>
  <c r="AR70" i="11"/>
  <c r="AR122" i="11"/>
  <c r="AR130" i="11"/>
  <c r="F42" i="9"/>
  <c r="G13" i="9"/>
  <c r="BJ11" i="11"/>
  <c r="AR13" i="11"/>
  <c r="AR14" i="11"/>
  <c r="BK14" i="11" s="1"/>
  <c r="J12" i="9" s="1"/>
  <c r="BJ18" i="11"/>
  <c r="AR22" i="11"/>
  <c r="BJ24" i="11"/>
  <c r="AR27" i="11"/>
  <c r="BK27" i="11" s="1"/>
  <c r="J25" i="9" s="1"/>
  <c r="F25" i="9"/>
  <c r="BJ28" i="11"/>
  <c r="F27" i="9"/>
  <c r="AR33" i="11"/>
  <c r="BK33" i="11" s="1"/>
  <c r="J31" i="9" s="1"/>
  <c r="G31" i="9"/>
  <c r="F31" i="9"/>
  <c r="BJ34" i="11"/>
  <c r="F32" i="9"/>
  <c r="F33" i="9"/>
  <c r="BJ39" i="11"/>
  <c r="F40" i="9"/>
  <c r="AR43" i="11"/>
  <c r="AR44" i="11"/>
  <c r="AR47" i="11"/>
  <c r="BJ50" i="11"/>
  <c r="BJ58" i="11"/>
  <c r="AR61" i="11"/>
  <c r="AR69" i="11"/>
  <c r="BK69" i="11" s="1"/>
  <c r="BJ72" i="11"/>
  <c r="AR75" i="11"/>
  <c r="BK75" i="11" s="1"/>
  <c r="AR142" i="11"/>
  <c r="BK142" i="11" s="1"/>
  <c r="F38" i="9"/>
  <c r="G25" i="9"/>
  <c r="BJ71" i="11"/>
  <c r="AR74" i="11"/>
  <c r="BK74" i="11" s="1"/>
  <c r="BJ80" i="11"/>
  <c r="BK80" i="11" s="1"/>
  <c r="AR90" i="11"/>
  <c r="BK90" i="11" s="1"/>
  <c r="AR93" i="11"/>
  <c r="AR95" i="11"/>
  <c r="BK95" i="11" s="1"/>
  <c r="BJ99" i="11"/>
  <c r="AR104" i="11"/>
  <c r="BK104" i="11" s="1"/>
  <c r="BJ108" i="11"/>
  <c r="BJ110" i="11"/>
  <c r="BJ119" i="11"/>
  <c r="BJ120" i="11"/>
  <c r="BJ126" i="11"/>
  <c r="BK126" i="11" s="1"/>
  <c r="AR129" i="11"/>
  <c r="BK129" i="11" s="1"/>
  <c r="AR132" i="11"/>
  <c r="AR133" i="11"/>
  <c r="AR134" i="11"/>
  <c r="BJ134" i="11"/>
  <c r="BJ135" i="11"/>
  <c r="AR137" i="11"/>
  <c r="BK137" i="11" s="1"/>
  <c r="AR145" i="11"/>
  <c r="BK145" i="11" s="1"/>
  <c r="AR146" i="11"/>
  <c r="BJ147" i="11"/>
  <c r="BJ152" i="11"/>
  <c r="BJ154" i="11"/>
  <c r="BJ155" i="11"/>
  <c r="BJ156" i="11"/>
  <c r="AR159" i="11"/>
  <c r="AR82" i="11"/>
  <c r="AR89" i="11"/>
  <c r="AR92" i="11"/>
  <c r="AR94" i="11"/>
  <c r="AR115" i="11"/>
  <c r="AR127" i="11"/>
  <c r="AR128" i="11"/>
  <c r="AR141" i="11"/>
  <c r="AR144" i="11"/>
  <c r="BK144" i="11" s="1"/>
  <c r="AR157" i="11"/>
  <c r="BK157" i="11" s="1"/>
  <c r="AR158" i="11"/>
  <c r="AR68" i="11"/>
  <c r="BK68" i="11" s="1"/>
  <c r="AR76" i="11"/>
  <c r="BK76" i="11" s="1"/>
  <c r="BJ82" i="11"/>
  <c r="BJ83" i="11"/>
  <c r="AR84" i="11"/>
  <c r="BK84" i="11" s="1"/>
  <c r="AR85" i="11"/>
  <c r="AR86" i="11"/>
  <c r="BK86" i="11" s="1"/>
  <c r="BJ89" i="11"/>
  <c r="AR96" i="11"/>
  <c r="BK96" i="11" s="1"/>
  <c r="BJ97" i="11"/>
  <c r="AR101" i="11"/>
  <c r="BK101" i="11" s="1"/>
  <c r="AR105" i="11"/>
  <c r="BJ106" i="11"/>
  <c r="AR109" i="11"/>
  <c r="AR111" i="11"/>
  <c r="BJ113" i="11"/>
  <c r="AR114" i="11"/>
  <c r="BK114" i="11" s="1"/>
  <c r="BJ128" i="11"/>
  <c r="BJ130" i="11"/>
  <c r="BJ131" i="11"/>
  <c r="BJ132" i="11"/>
  <c r="AR139" i="11"/>
  <c r="AR140" i="11"/>
  <c r="BJ140" i="11"/>
  <c r="BJ141" i="11"/>
  <c r="AR153" i="11"/>
  <c r="BK153" i="11" s="1"/>
  <c r="AR156" i="11"/>
  <c r="BJ158" i="11"/>
  <c r="A13" i="11"/>
  <c r="BP12" i="11"/>
  <c r="BQ12" i="11" s="1"/>
  <c r="AR10" i="11"/>
  <c r="BJ19" i="11"/>
  <c r="BJ31" i="11"/>
  <c r="BJ37" i="11"/>
  <c r="AR40" i="11"/>
  <c r="BJ43" i="11"/>
  <c r="AR46" i="11"/>
  <c r="BK46" i="11" s="1"/>
  <c r="BJ49" i="11"/>
  <c r="AR52" i="11"/>
  <c r="BJ55" i="11"/>
  <c r="AR58" i="11"/>
  <c r="BK58" i="11" s="1"/>
  <c r="D12" i="1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D130" i="11" s="1"/>
  <c r="D131" i="11" s="1"/>
  <c r="D132" i="11" s="1"/>
  <c r="D133" i="11" s="1"/>
  <c r="D134" i="11" s="1"/>
  <c r="D135" i="11" s="1"/>
  <c r="D136" i="11" s="1"/>
  <c r="D137" i="11" s="1"/>
  <c r="D138" i="11" s="1"/>
  <c r="D139" i="11" s="1"/>
  <c r="D140" i="11" s="1"/>
  <c r="D141" i="11" s="1"/>
  <c r="D142" i="11" s="1"/>
  <c r="D143" i="11" s="1"/>
  <c r="D144" i="11" s="1"/>
  <c r="D145" i="11" s="1"/>
  <c r="D146" i="11" s="1"/>
  <c r="D147" i="11" s="1"/>
  <c r="D148" i="11" s="1"/>
  <c r="D149" i="11" s="1"/>
  <c r="D150" i="11" s="1"/>
  <c r="D151" i="11" s="1"/>
  <c r="D152" i="11" s="1"/>
  <c r="D153" i="11" s="1"/>
  <c r="D154" i="11" s="1"/>
  <c r="D155" i="11" s="1"/>
  <c r="D156" i="11" s="1"/>
  <c r="D157" i="11" s="1"/>
  <c r="D158" i="11" s="1"/>
  <c r="D159" i="11" s="1"/>
  <c r="M160" i="11"/>
  <c r="AR28" i="11"/>
  <c r="AS160" i="11"/>
  <c r="BP10" i="11"/>
  <c r="BJ10" i="11"/>
  <c r="AZ160" i="11"/>
  <c r="AR16" i="11"/>
  <c r="BJ25" i="11"/>
  <c r="AC160" i="11"/>
  <c r="AR24" i="11"/>
  <c r="AR25" i="11"/>
  <c r="AR36" i="11"/>
  <c r="BK36" i="11" s="1"/>
  <c r="J34" i="9" s="1"/>
  <c r="AR42" i="11"/>
  <c r="BK42" i="11" s="1"/>
  <c r="J40" i="9" s="1"/>
  <c r="AR48" i="11"/>
  <c r="AR54" i="11"/>
  <c r="BK54" i="11" s="1"/>
  <c r="AR60" i="11"/>
  <c r="BK60" i="11" s="1"/>
  <c r="AR63" i="11"/>
  <c r="AR67" i="11"/>
  <c r="AR71" i="11"/>
  <c r="AR108" i="11"/>
  <c r="U160" i="11"/>
  <c r="BJ64" i="11"/>
  <c r="AR73" i="11"/>
  <c r="BK73" i="11" s="1"/>
  <c r="AR77" i="11"/>
  <c r="BK77" i="11" s="1"/>
  <c r="AR83" i="11"/>
  <c r="AR99" i="11"/>
  <c r="BK99" i="11" s="1"/>
  <c r="AR64" i="11"/>
  <c r="BJ70" i="11"/>
  <c r="BK70" i="11" s="1"/>
  <c r="BJ79" i="11"/>
  <c r="BJ85" i="11"/>
  <c r="BJ88" i="11"/>
  <c r="AR97" i="11"/>
  <c r="AR106" i="11"/>
  <c r="BJ112" i="11"/>
  <c r="BJ118" i="11"/>
  <c r="AR119" i="11"/>
  <c r="BK119" i="11" s="1"/>
  <c r="BJ94" i="11"/>
  <c r="BJ103" i="11"/>
  <c r="BJ109" i="11"/>
  <c r="AR112" i="11"/>
  <c r="AR103" i="11"/>
  <c r="AR113" i="11"/>
  <c r="BJ100" i="11"/>
  <c r="AR117" i="11"/>
  <c r="BK117" i="11" s="1"/>
  <c r="AR91" i="11"/>
  <c r="BK91" i="11" s="1"/>
  <c r="AR100" i="11"/>
  <c r="BJ115" i="11"/>
  <c r="AR125" i="11"/>
  <c r="BK125" i="11" s="1"/>
  <c r="BJ146" i="11"/>
  <c r="AR149" i="11"/>
  <c r="AR123" i="11"/>
  <c r="BK123" i="11" s="1"/>
  <c r="AR143" i="11"/>
  <c r="BK143" i="11" s="1"/>
  <c r="AR131" i="11"/>
  <c r="BK130" i="11"/>
  <c r="BK92" i="11" l="1"/>
  <c r="BK138" i="11"/>
  <c r="BK57" i="11"/>
  <c r="BK127" i="11"/>
  <c r="BK159" i="11"/>
  <c r="BK107" i="11"/>
  <c r="BK149" i="11"/>
  <c r="BK81" i="11"/>
  <c r="BK41" i="11"/>
  <c r="J39" i="9" s="1"/>
  <c r="BK63" i="11"/>
  <c r="BK28" i="11"/>
  <c r="J26" i="9" s="1"/>
  <c r="BK93" i="11"/>
  <c r="BK66" i="11"/>
  <c r="BK59" i="11"/>
  <c r="BK48" i="11"/>
  <c r="BK105" i="11"/>
  <c r="BK133" i="11"/>
  <c r="BK37" i="11"/>
  <c r="J35" i="9" s="1"/>
  <c r="BK139" i="11"/>
  <c r="BK65" i="11"/>
  <c r="BK151" i="11"/>
  <c r="BK32" i="11"/>
  <c r="J30" i="9" s="1"/>
  <c r="BK97" i="11"/>
  <c r="BK108" i="11"/>
  <c r="BK30" i="11"/>
  <c r="J28" i="9" s="1"/>
  <c r="BK136" i="11"/>
  <c r="BK148" i="11"/>
  <c r="BK13" i="11"/>
  <c r="J11" i="9" s="1"/>
  <c r="BK40" i="11"/>
  <c r="J38" i="9" s="1"/>
  <c r="BK47" i="11"/>
  <c r="BK134" i="11"/>
  <c r="BK100" i="11"/>
  <c r="BK158" i="11"/>
  <c r="BK131" i="11"/>
  <c r="BK113" i="11"/>
  <c r="BK71" i="11"/>
  <c r="BK52" i="11"/>
  <c r="BK140" i="11"/>
  <c r="BK111" i="11"/>
  <c r="BK122" i="11"/>
  <c r="BK35" i="11"/>
  <c r="J33" i="9" s="1"/>
  <c r="BK98" i="11"/>
  <c r="BK106" i="11"/>
  <c r="BK83" i="11"/>
  <c r="BK67" i="11"/>
  <c r="BK24" i="11"/>
  <c r="J22" i="9" s="1"/>
  <c r="BK16" i="11"/>
  <c r="J14" i="9" s="1"/>
  <c r="BK89" i="11"/>
  <c r="BK146" i="11"/>
  <c r="BK61" i="11"/>
  <c r="BK44" i="11"/>
  <c r="J42" i="9" s="1"/>
  <c r="BK135" i="11"/>
  <c r="BK53" i="11"/>
  <c r="BK154" i="11"/>
  <c r="BK29" i="11"/>
  <c r="J27" i="9" s="1"/>
  <c r="BK85" i="11"/>
  <c r="BK152" i="11"/>
  <c r="BK147" i="11"/>
  <c r="BK38" i="11"/>
  <c r="J36" i="9" s="1"/>
  <c r="BK39" i="11"/>
  <c r="J37" i="9" s="1"/>
  <c r="BK94" i="11"/>
  <c r="BK79" i="11"/>
  <c r="BK110" i="11"/>
  <c r="BK55" i="11"/>
  <c r="BK19" i="11"/>
  <c r="J17" i="9" s="1"/>
  <c r="BK115" i="11"/>
  <c r="BK31" i="11"/>
  <c r="J29" i="9" s="1"/>
  <c r="BK155" i="11"/>
  <c r="BK120" i="11"/>
  <c r="BK72" i="11"/>
  <c r="BK109" i="11"/>
  <c r="BK118" i="11"/>
  <c r="BK88" i="11"/>
  <c r="BK49" i="11"/>
  <c r="BK12" i="11"/>
  <c r="J10" i="9" s="1"/>
  <c r="BK51" i="11"/>
  <c r="BK15" i="11"/>
  <c r="J13" i="9" s="1"/>
  <c r="AI161" i="11"/>
  <c r="BK45" i="11"/>
  <c r="J43" i="9" s="1"/>
  <c r="BK128" i="11"/>
  <c r="BK132" i="11"/>
  <c r="BK17" i="11"/>
  <c r="J15" i="9" s="1"/>
  <c r="BK56" i="11"/>
  <c r="BK62" i="11"/>
  <c r="BK11" i="11"/>
  <c r="J9" i="9" s="1"/>
  <c r="BK112" i="11"/>
  <c r="BK141" i="11"/>
  <c r="BK82" i="11"/>
  <c r="BK34" i="11"/>
  <c r="J32" i="9" s="1"/>
  <c r="BK18" i="11"/>
  <c r="J16" i="9" s="1"/>
  <c r="BK50" i="11"/>
  <c r="BK21" i="11"/>
  <c r="J19" i="9" s="1"/>
  <c r="BK156" i="11"/>
  <c r="BK64" i="11"/>
  <c r="BK103" i="11"/>
  <c r="BK43" i="11"/>
  <c r="J41" i="9" s="1"/>
  <c r="BK22" i="11"/>
  <c r="J20" i="9" s="1"/>
  <c r="BK23" i="11"/>
  <c r="J21" i="9" s="1"/>
  <c r="AK161" i="11"/>
  <c r="A14" i="11"/>
  <c r="BP13" i="11"/>
  <c r="BQ13" i="11" s="1"/>
  <c r="K161" i="11"/>
  <c r="X161" i="11"/>
  <c r="BH161" i="11"/>
  <c r="AQ161" i="11"/>
  <c r="N161" i="11"/>
  <c r="BD161" i="11"/>
  <c r="AM161" i="11"/>
  <c r="AB161" i="11"/>
  <c r="R161" i="11"/>
  <c r="V161" i="11"/>
  <c r="AU161" i="11"/>
  <c r="W161" i="11"/>
  <c r="AD161" i="11"/>
  <c r="G161" i="11"/>
  <c r="AW161" i="11"/>
  <c r="T161" i="11"/>
  <c r="AY161" i="11"/>
  <c r="AN161" i="11"/>
  <c r="AX161" i="11"/>
  <c r="AG161" i="11"/>
  <c r="BK25" i="11"/>
  <c r="BJ160" i="11"/>
  <c r="E161" i="11"/>
  <c r="Q161" i="11"/>
  <c r="BG161" i="11"/>
  <c r="AJ161" i="11"/>
  <c r="S161" i="11"/>
  <c r="BC161" i="11"/>
  <c r="Z161" i="11"/>
  <c r="I161" i="11"/>
  <c r="BE161" i="11"/>
  <c r="AT161" i="11"/>
  <c r="AR160" i="11"/>
  <c r="BK10" i="11"/>
  <c r="BN10" i="11" s="1"/>
  <c r="AO161" i="11"/>
  <c r="BA161" i="11"/>
  <c r="AP161" i="11"/>
  <c r="Y161" i="11"/>
  <c r="BI161" i="11"/>
  <c r="AF161" i="11"/>
  <c r="O161" i="11"/>
  <c r="J161" i="11"/>
  <c r="BF161" i="11"/>
  <c r="BB161" i="11"/>
  <c r="H161" i="11"/>
  <c r="BQ10" i="11"/>
  <c r="L161" i="11"/>
  <c r="AV161" i="11"/>
  <c r="AE161" i="11"/>
  <c r="AL161" i="11"/>
  <c r="AA161" i="11"/>
  <c r="P161" i="11"/>
  <c r="BL20" i="11" l="1"/>
  <c r="BL95" i="11"/>
  <c r="BL118" i="11"/>
  <c r="BL145" i="11"/>
  <c r="BL78" i="11"/>
  <c r="BL41" i="11"/>
  <c r="BL73" i="11"/>
  <c r="BL62" i="11"/>
  <c r="BL103" i="11"/>
  <c r="BL54" i="11"/>
  <c r="BL80" i="11"/>
  <c r="BL85" i="11"/>
  <c r="BL14" i="11"/>
  <c r="BL31" i="11"/>
  <c r="BL70" i="11"/>
  <c r="J8" i="9"/>
  <c r="AH161" i="11"/>
  <c r="BL69" i="11"/>
  <c r="J23" i="9"/>
  <c r="AC161" i="11"/>
  <c r="BL77" i="11"/>
  <c r="BL61" i="11"/>
  <c r="BL142" i="11"/>
  <c r="BL119" i="11"/>
  <c r="BL111" i="11"/>
  <c r="BL55" i="11"/>
  <c r="BL46" i="11"/>
  <c r="BL158" i="11"/>
  <c r="BL126" i="11"/>
  <c r="BL117" i="11"/>
  <c r="BL56" i="11"/>
  <c r="BL124" i="11"/>
  <c r="BL101" i="11"/>
  <c r="BL97" i="11"/>
  <c r="BL37" i="11"/>
  <c r="BL52" i="11"/>
  <c r="BL133" i="11"/>
  <c r="BL66" i="11"/>
  <c r="BL42" i="11"/>
  <c r="BL36" i="11"/>
  <c r="BL151" i="11"/>
  <c r="BL144" i="11"/>
  <c r="BL87" i="11"/>
  <c r="BL51" i="11"/>
  <c r="BL27" i="11"/>
  <c r="BL157" i="11"/>
  <c r="BL91" i="11"/>
  <c r="A15" i="11"/>
  <c r="BP14" i="11"/>
  <c r="AZ161" i="11"/>
  <c r="BL104" i="11"/>
  <c r="BL122" i="11"/>
  <c r="BL139" i="11"/>
  <c r="BL72" i="11"/>
  <c r="BL48" i="11"/>
  <c r="BK160" i="11"/>
  <c r="BL28" i="11"/>
  <c r="BL16" i="11"/>
  <c r="BL12" i="11"/>
  <c r="BL11" i="11"/>
  <c r="BL10" i="11"/>
  <c r="BL30" i="11"/>
  <c r="BL18" i="11"/>
  <c r="BO10" i="11"/>
  <c r="L8" i="9" s="1"/>
  <c r="BL13" i="11"/>
  <c r="BL34" i="11"/>
  <c r="BL24" i="11"/>
  <c r="BL15" i="11"/>
  <c r="BL114" i="11"/>
  <c r="BL75" i="11"/>
  <c r="BL84" i="11"/>
  <c r="BL26" i="11"/>
  <c r="BL67" i="11"/>
  <c r="BL106" i="11"/>
  <c r="BL143" i="11"/>
  <c r="BL88" i="11"/>
  <c r="BL39" i="11"/>
  <c r="BL49" i="11"/>
  <c r="BL113" i="11"/>
  <c r="BL92" i="11"/>
  <c r="BL105" i="11"/>
  <c r="BL76" i="11"/>
  <c r="BL132" i="11"/>
  <c r="BL65" i="11"/>
  <c r="BL47" i="11"/>
  <c r="BL110" i="11"/>
  <c r="BL83" i="11"/>
  <c r="BL60" i="11"/>
  <c r="BL59" i="11"/>
  <c r="BL140" i="11"/>
  <c r="BL90" i="11"/>
  <c r="BL38" i="11"/>
  <c r="U161" i="11"/>
  <c r="BL153" i="11"/>
  <c r="BL125" i="11"/>
  <c r="BL115" i="11"/>
  <c r="BL82" i="11"/>
  <c r="BL136" i="11"/>
  <c r="BL123" i="11"/>
  <c r="BL108" i="11"/>
  <c r="BL86" i="11"/>
  <c r="BL129" i="11"/>
  <c r="BL130" i="11"/>
  <c r="BL107" i="11"/>
  <c r="BL102" i="11"/>
  <c r="BL43" i="11"/>
  <c r="BL135" i="11"/>
  <c r="BL116" i="11"/>
  <c r="BL96" i="11"/>
  <c r="BL64" i="11"/>
  <c r="BL150" i="11"/>
  <c r="BL94" i="11"/>
  <c r="BL57" i="11"/>
  <c r="BL29" i="11"/>
  <c r="BL40" i="11"/>
  <c r="BL148" i="11"/>
  <c r="BL137" i="11"/>
  <c r="BL68" i="11"/>
  <c r="BL19" i="11"/>
  <c r="BL147" i="11"/>
  <c r="BL98" i="11"/>
  <c r="BL71" i="11"/>
  <c r="BL53" i="11"/>
  <c r="BL128" i="11"/>
  <c r="BL156" i="11"/>
  <c r="BL99" i="11"/>
  <c r="BL63" i="11"/>
  <c r="BL35" i="11"/>
  <c r="AS161" i="11"/>
  <c r="BL146" i="11"/>
  <c r="BL109" i="11"/>
  <c r="BL44" i="11"/>
  <c r="BL22" i="11"/>
  <c r="BL58" i="11"/>
  <c r="F161" i="11"/>
  <c r="BL79" i="11"/>
  <c r="BL93" i="11"/>
  <c r="M161" i="11"/>
  <c r="BL138" i="11"/>
  <c r="BL81" i="11"/>
  <c r="BL45" i="11"/>
  <c r="BL17" i="11"/>
  <c r="BL141" i="11"/>
  <c r="BL155" i="11"/>
  <c r="BL100" i="11"/>
  <c r="BL152" i="11"/>
  <c r="BL120" i="11"/>
  <c r="BL112" i="11"/>
  <c r="BL50" i="11"/>
  <c r="BL21" i="11"/>
  <c r="BL154" i="11"/>
  <c r="BL74" i="11"/>
  <c r="BL25" i="11"/>
  <c r="BL159" i="11"/>
  <c r="BL127" i="11"/>
  <c r="BL149" i="11"/>
  <c r="BL121" i="11"/>
  <c r="BL23" i="11"/>
  <c r="BL134" i="11"/>
  <c r="BL131" i="11"/>
  <c r="BL89" i="11"/>
  <c r="BL32" i="11"/>
  <c r="BL33" i="11"/>
  <c r="BJ161" i="11" l="1"/>
  <c r="AR161" i="11"/>
  <c r="BQ14" i="11"/>
  <c r="BP15" i="11"/>
  <c r="BQ15" i="11" s="1"/>
  <c r="A16" i="11"/>
  <c r="BN11" i="11"/>
  <c r="BO11" i="11" s="1"/>
  <c r="L9" i="9" s="1"/>
  <c r="E10" i="10" s="1"/>
  <c r="BK161" i="11" l="1"/>
  <c r="BL161" i="11" s="1"/>
  <c r="B13" i="8" s="1"/>
  <c r="G5" i="9" s="1"/>
  <c r="BN12" i="11"/>
  <c r="BO12" i="11" s="1"/>
  <c r="L10" i="9" s="1"/>
  <c r="BP16" i="11"/>
  <c r="A17" i="11"/>
  <c r="BL160" i="11" l="1"/>
  <c r="BN13" i="11"/>
  <c r="BO13" i="11" s="1"/>
  <c r="L11" i="9" s="1"/>
  <c r="A18" i="11"/>
  <c r="BP17" i="11"/>
  <c r="BQ17" i="11" s="1"/>
  <c r="BQ16" i="11"/>
  <c r="BN14" i="11" l="1"/>
  <c r="BO14" i="11" s="1"/>
  <c r="L12" i="9" s="1"/>
  <c r="A19" i="11"/>
  <c r="BP18" i="11"/>
  <c r="BQ18" i="11" l="1"/>
  <c r="BN15" i="11"/>
  <c r="BO15" i="11" s="1"/>
  <c r="L13" i="9" s="1"/>
  <c r="A20" i="11"/>
  <c r="BP19" i="11"/>
  <c r="BQ19" i="11" s="1"/>
  <c r="BN16" i="11" l="1"/>
  <c r="BO16" i="11" s="1"/>
  <c r="L14" i="9" s="1"/>
  <c r="E15" i="10" s="1"/>
  <c r="A21" i="11"/>
  <c r="BP20" i="11"/>
  <c r="BQ20" i="11" s="1"/>
  <c r="BN17" i="11" l="1"/>
  <c r="BO17" i="11" s="1"/>
  <c r="L15" i="9" s="1"/>
  <c r="BP21" i="11"/>
  <c r="BQ21" i="11" s="1"/>
  <c r="A22" i="11"/>
  <c r="BN18" i="11" l="1"/>
  <c r="BO18" i="11" s="1"/>
  <c r="L16" i="9" s="1"/>
  <c r="BP22" i="11"/>
  <c r="BQ22" i="11" s="1"/>
  <c r="A23" i="11"/>
  <c r="BN19" i="11" l="1"/>
  <c r="BO19" i="11" s="1"/>
  <c r="L17" i="9" s="1"/>
  <c r="A24" i="11"/>
  <c r="BP23" i="11"/>
  <c r="BQ23" i="11" s="1"/>
  <c r="A25" i="11" l="1"/>
  <c r="BP24" i="11"/>
  <c r="BQ24" i="11" s="1"/>
  <c r="BN20" i="11"/>
  <c r="BO20" i="11" s="1"/>
  <c r="L18" i="9" s="1"/>
  <c r="BN21" i="11" l="1"/>
  <c r="BO21" i="11" s="1"/>
  <c r="L19" i="9" s="1"/>
  <c r="A26" i="11"/>
  <c r="BP25" i="11"/>
  <c r="BQ25" i="11" s="1"/>
  <c r="BN22" i="11" l="1"/>
  <c r="BO22" i="11" s="1"/>
  <c r="L20" i="9" s="1"/>
  <c r="A27" i="11"/>
  <c r="BP26" i="11"/>
  <c r="BQ26" i="11" s="1"/>
  <c r="BN23" i="11" l="1"/>
  <c r="BO23" i="11" s="1"/>
  <c r="L21" i="9" s="1"/>
  <c r="BP27" i="11"/>
  <c r="BQ27" i="11" s="1"/>
  <c r="A28" i="11"/>
  <c r="BN24" i="11" l="1"/>
  <c r="BO24" i="11" s="1"/>
  <c r="L22" i="9" s="1"/>
  <c r="BP28" i="11"/>
  <c r="BQ28" i="11" s="1"/>
  <c r="A29" i="11"/>
  <c r="BN25" i="11" l="1"/>
  <c r="BO25" i="11" s="1"/>
  <c r="L23" i="9" s="1"/>
  <c r="A30" i="11"/>
  <c r="BP29" i="11"/>
  <c r="BQ29" i="11" s="1"/>
  <c r="BN26" i="11" l="1"/>
  <c r="BO26" i="11" s="1"/>
  <c r="L24" i="9" s="1"/>
  <c r="A31" i="11"/>
  <c r="BP30" i="11"/>
  <c r="BQ30" i="11" s="1"/>
  <c r="BN27" i="11" l="1"/>
  <c r="BO27" i="11" s="1"/>
  <c r="L25" i="9" s="1"/>
  <c r="A32" i="11"/>
  <c r="BP31" i="11"/>
  <c r="BQ31" i="11" s="1"/>
  <c r="BN28" i="11" l="1"/>
  <c r="BO28" i="11" s="1"/>
  <c r="L26" i="9" s="1"/>
  <c r="A33" i="11"/>
  <c r="BP32" i="11"/>
  <c r="BQ32" i="11" s="1"/>
  <c r="BN29" i="11" l="1"/>
  <c r="BO29" i="11" s="1"/>
  <c r="L27" i="9" s="1"/>
  <c r="BP33" i="11"/>
  <c r="BQ33" i="11" s="1"/>
  <c r="A34" i="11"/>
  <c r="BN30" i="11" l="1"/>
  <c r="BO30" i="11" s="1"/>
  <c r="L28" i="9" s="1"/>
  <c r="BP34" i="11"/>
  <c r="BQ34" i="11" s="1"/>
  <c r="A35" i="11"/>
  <c r="BN31" i="11" l="1"/>
  <c r="BO31" i="11" s="1"/>
  <c r="L29" i="9" s="1"/>
  <c r="A36" i="11"/>
  <c r="BP35" i="11"/>
  <c r="BQ35" i="11" s="1"/>
  <c r="BN32" i="11" l="1"/>
  <c r="BO32" i="11" s="1"/>
  <c r="L30" i="9" s="1"/>
  <c r="A37" i="11"/>
  <c r="BP36" i="11"/>
  <c r="BQ36" i="11" s="1"/>
  <c r="BN33" i="11" l="1"/>
  <c r="BO33" i="11" s="1"/>
  <c r="L31" i="9" s="1"/>
  <c r="A38" i="11"/>
  <c r="BP37" i="11"/>
  <c r="BQ37" i="11" s="1"/>
  <c r="BN34" i="11" l="1"/>
  <c r="BO34" i="11" s="1"/>
  <c r="L32" i="9" s="1"/>
  <c r="A39" i="11"/>
  <c r="BP38" i="11"/>
  <c r="BQ38" i="11" s="1"/>
  <c r="A40" i="11" l="1"/>
  <c r="BP39" i="11"/>
  <c r="BQ39" i="11" s="1"/>
  <c r="BN35" i="11"/>
  <c r="BO35" i="11" s="1"/>
  <c r="L33" i="9" s="1"/>
  <c r="BN36" i="11" l="1"/>
  <c r="BO36" i="11" s="1"/>
  <c r="L34" i="9" s="1"/>
  <c r="BP40" i="11"/>
  <c r="BQ40" i="11" s="1"/>
  <c r="A41" i="11"/>
  <c r="BN37" i="11" l="1"/>
  <c r="BO37" i="11" s="1"/>
  <c r="L35" i="9" s="1"/>
  <c r="BP41" i="11"/>
  <c r="BQ41" i="11" s="1"/>
  <c r="A42" i="11"/>
  <c r="BN38" i="11" l="1"/>
  <c r="BO38" i="11" s="1"/>
  <c r="L36" i="9" s="1"/>
  <c r="A43" i="11"/>
  <c r="BP42" i="11"/>
  <c r="BQ42" i="11" s="1"/>
  <c r="BN39" i="11" l="1"/>
  <c r="BO39" i="11" s="1"/>
  <c r="L37" i="9" s="1"/>
  <c r="E38" i="10" s="1"/>
  <c r="A44" i="11"/>
  <c r="BP43" i="11"/>
  <c r="BQ43" i="11" s="1"/>
  <c r="BN40" i="11" l="1"/>
  <c r="BO40" i="11" s="1"/>
  <c r="L38" i="9" s="1"/>
  <c r="A45" i="11"/>
  <c r="BP44" i="11"/>
  <c r="BQ44" i="11" s="1"/>
  <c r="A46" i="11" l="1"/>
  <c r="BP45" i="11"/>
  <c r="BQ45" i="11" s="1"/>
  <c r="BN41" i="11"/>
  <c r="BO41" i="11" s="1"/>
  <c r="L39" i="9" s="1"/>
  <c r="BN42" i="11" l="1"/>
  <c r="BO42" i="11" s="1"/>
  <c r="L40" i="9" s="1"/>
  <c r="BP46" i="11"/>
  <c r="BQ46" i="11" s="1"/>
  <c r="A47" i="11"/>
  <c r="BN43" i="11" l="1"/>
  <c r="BO43" i="11" s="1"/>
  <c r="L41" i="9" s="1"/>
  <c r="BP47" i="11"/>
  <c r="BQ47" i="11" s="1"/>
  <c r="A48" i="11"/>
  <c r="A49" i="11" l="1"/>
  <c r="BP48" i="11"/>
  <c r="BQ48" i="11" s="1"/>
  <c r="BN44" i="11"/>
  <c r="BO44" i="11" s="1"/>
  <c r="L42" i="9" s="1"/>
  <c r="BN45" i="11" l="1"/>
  <c r="BO45" i="11" s="1"/>
  <c r="L43" i="9" s="1"/>
  <c r="A50" i="11"/>
  <c r="BP49" i="11"/>
  <c r="BQ49" i="11" s="1"/>
  <c r="BN46" i="11" l="1"/>
  <c r="BO46" i="11" s="1"/>
  <c r="A51" i="11"/>
  <c r="BP50" i="11"/>
  <c r="BQ50" i="11" s="1"/>
  <c r="BN47" i="11" l="1"/>
  <c r="BO47" i="11" s="1"/>
  <c r="A52" i="11"/>
  <c r="BP51" i="11"/>
  <c r="BQ51" i="11" s="1"/>
  <c r="BN48" i="11" l="1"/>
  <c r="BO48" i="11" s="1"/>
  <c r="BP52" i="11"/>
  <c r="BQ52" i="11" s="1"/>
  <c r="A53" i="11"/>
  <c r="BN49" i="11" l="1"/>
  <c r="BO49" i="11" s="1"/>
  <c r="BP53" i="11"/>
  <c r="BQ53" i="11" s="1"/>
  <c r="A54" i="11"/>
  <c r="A55" i="11" l="1"/>
  <c r="BP54" i="11"/>
  <c r="BQ54" i="11" s="1"/>
  <c r="BN50" i="11"/>
  <c r="BO50" i="11" s="1"/>
  <c r="BN51" i="11" l="1"/>
  <c r="BO51" i="11" s="1"/>
  <c r="A56" i="11"/>
  <c r="BP55" i="11"/>
  <c r="BQ55" i="11" s="1"/>
  <c r="BN52" i="11" l="1"/>
  <c r="BO52" i="11" s="1"/>
  <c r="A57" i="11"/>
  <c r="BP56" i="11"/>
  <c r="BQ56" i="11" s="1"/>
  <c r="A58" i="11" l="1"/>
  <c r="BP57" i="11"/>
  <c r="BQ57" i="11" s="1"/>
  <c r="BN53" i="11"/>
  <c r="BO53" i="11" s="1"/>
  <c r="BN54" i="11" l="1"/>
  <c r="BO54" i="11" s="1"/>
  <c r="BP58" i="11"/>
  <c r="BQ58" i="11" s="1"/>
  <c r="A59" i="11"/>
  <c r="BN55" i="11" l="1"/>
  <c r="BO55" i="11" s="1"/>
  <c r="BP59" i="11"/>
  <c r="BQ59" i="11" s="1"/>
  <c r="A60" i="11"/>
  <c r="BN56" i="11" l="1"/>
  <c r="BO56" i="11" s="1"/>
  <c r="BP60" i="11"/>
  <c r="BQ60" i="11" s="1"/>
  <c r="A61" i="11"/>
  <c r="BN57" i="11" l="1"/>
  <c r="BO57" i="11" s="1"/>
  <c r="BP61" i="11"/>
  <c r="BQ61" i="11" s="1"/>
  <c r="A62" i="11"/>
  <c r="BN58" i="11" l="1"/>
  <c r="BO58" i="11" s="1"/>
  <c r="A63" i="11"/>
  <c r="BP62" i="11"/>
  <c r="BQ62" i="11" s="1"/>
  <c r="BN59" i="11" l="1"/>
  <c r="BO59" i="11" s="1"/>
  <c r="A64" i="11"/>
  <c r="BP63" i="11"/>
  <c r="BQ63" i="11" s="1"/>
  <c r="BN60" i="11" l="1"/>
  <c r="BO60" i="11" s="1"/>
  <c r="BP64" i="11"/>
  <c r="BQ64" i="11" s="1"/>
  <c r="A65" i="11"/>
  <c r="BN61" i="11" l="1"/>
  <c r="BO61" i="11" s="1"/>
  <c r="A66" i="11"/>
  <c r="BP65" i="11"/>
  <c r="BQ65" i="11" s="1"/>
  <c r="A67" i="11" l="1"/>
  <c r="BP66" i="11"/>
  <c r="BQ66" i="11" s="1"/>
  <c r="BN62" i="11"/>
  <c r="BO62" i="11" s="1"/>
  <c r="BN63" i="11" l="1"/>
  <c r="BO63" i="11" s="1"/>
  <c r="BP67" i="11"/>
  <c r="BQ67" i="11" s="1"/>
  <c r="A68" i="11"/>
  <c r="BN64" i="11" l="1"/>
  <c r="BO64" i="11" s="1"/>
  <c r="A69" i="11"/>
  <c r="BP68" i="11"/>
  <c r="BQ68" i="11" s="1"/>
  <c r="BN65" i="11" l="1"/>
  <c r="BO65" i="11" s="1"/>
  <c r="A70" i="11"/>
  <c r="BP69" i="11"/>
  <c r="BQ69" i="11" s="1"/>
  <c r="BN66" i="11" l="1"/>
  <c r="BO66" i="11" s="1"/>
  <c r="BP70" i="11"/>
  <c r="BQ70" i="11" s="1"/>
  <c r="A71" i="11"/>
  <c r="BN67" i="11" l="1"/>
  <c r="BO67" i="11" s="1"/>
  <c r="A72" i="11"/>
  <c r="BP71" i="11"/>
  <c r="BQ71" i="11" s="1"/>
  <c r="BN68" i="11" l="1"/>
  <c r="BO68" i="11" s="1"/>
  <c r="A73" i="11"/>
  <c r="BP72" i="11"/>
  <c r="BQ72" i="11" s="1"/>
  <c r="BN69" i="11" l="1"/>
  <c r="BO69" i="11" s="1"/>
  <c r="BP73" i="11"/>
  <c r="BQ73" i="11" s="1"/>
  <c r="A74" i="11"/>
  <c r="BN70" i="11" l="1"/>
  <c r="BO70" i="11" s="1"/>
  <c r="A75" i="11"/>
  <c r="BP74" i="11"/>
  <c r="BQ74" i="11" s="1"/>
  <c r="BN71" i="11" l="1"/>
  <c r="BO71" i="11" s="1"/>
  <c r="A76" i="11"/>
  <c r="BP75" i="11"/>
  <c r="BQ75" i="11" s="1"/>
  <c r="BN72" i="11" l="1"/>
  <c r="BO72" i="11" s="1"/>
  <c r="BP76" i="11"/>
  <c r="BQ76" i="11" s="1"/>
  <c r="A77" i="11"/>
  <c r="BN73" i="11" l="1"/>
  <c r="BO73" i="11" s="1"/>
  <c r="BP77" i="11"/>
  <c r="BQ77" i="11" s="1"/>
  <c r="A78" i="11"/>
  <c r="BN74" i="11" l="1"/>
  <c r="BO74" i="11" s="1"/>
  <c r="A79" i="11"/>
  <c r="BP78" i="11"/>
  <c r="BQ78" i="11" s="1"/>
  <c r="BN75" i="11" l="1"/>
  <c r="BO75" i="11" s="1"/>
  <c r="A80" i="11"/>
  <c r="BP79" i="11"/>
  <c r="BQ79" i="11" s="1"/>
  <c r="BN76" i="11" l="1"/>
  <c r="BO76" i="11" s="1"/>
  <c r="A81" i="11"/>
  <c r="BP80" i="11"/>
  <c r="BQ80" i="11" s="1"/>
  <c r="BN77" i="11" l="1"/>
  <c r="BO77" i="11" s="1"/>
  <c r="A82" i="11"/>
  <c r="BP81" i="11"/>
  <c r="BQ81" i="11" s="1"/>
  <c r="BN78" i="11" l="1"/>
  <c r="BO78" i="11" s="1"/>
  <c r="BP82" i="11"/>
  <c r="BQ82" i="11" s="1"/>
  <c r="A83" i="11"/>
  <c r="BN79" i="11" l="1"/>
  <c r="BO79" i="11" s="1"/>
  <c r="BP83" i="11"/>
  <c r="BQ83" i="11" s="1"/>
  <c r="A84" i="11"/>
  <c r="A85" i="11" l="1"/>
  <c r="BP84" i="11"/>
  <c r="BQ84" i="11" s="1"/>
  <c r="BN80" i="11"/>
  <c r="BO80" i="11" s="1"/>
  <c r="BN81" i="11" l="1"/>
  <c r="BO81" i="11" s="1"/>
  <c r="A86" i="11"/>
  <c r="BP85" i="11"/>
  <c r="BQ85" i="11" s="1"/>
  <c r="BN82" i="11" l="1"/>
  <c r="BO82" i="11" s="1"/>
  <c r="A87" i="11"/>
  <c r="BP86" i="11"/>
  <c r="BQ86" i="11" s="1"/>
  <c r="BN83" i="11" l="1"/>
  <c r="BO83" i="11" s="1"/>
  <c r="A88" i="11"/>
  <c r="BP87" i="11"/>
  <c r="BQ87" i="11" s="1"/>
  <c r="BN84" i="11" l="1"/>
  <c r="BO84" i="11" s="1"/>
  <c r="BP88" i="11"/>
  <c r="BQ88" i="11" s="1"/>
  <c r="A89" i="11"/>
  <c r="BN85" i="11" l="1"/>
  <c r="BO85" i="11" s="1"/>
  <c r="A90" i="11"/>
  <c r="BP89" i="11"/>
  <c r="BQ89" i="11" s="1"/>
  <c r="BN86" i="11" l="1"/>
  <c r="BO86" i="11" s="1"/>
  <c r="A91" i="11"/>
  <c r="BP90" i="11"/>
  <c r="BQ90" i="11" s="1"/>
  <c r="BN87" i="11" l="1"/>
  <c r="BO87" i="11" s="1"/>
  <c r="A92" i="11"/>
  <c r="BP91" i="11"/>
  <c r="BQ91" i="11" s="1"/>
  <c r="BN88" i="11" l="1"/>
  <c r="BO88" i="11" s="1"/>
  <c r="A93" i="11"/>
  <c r="BP92" i="11"/>
  <c r="BQ92" i="11" s="1"/>
  <c r="BN89" i="11" l="1"/>
  <c r="BO89" i="11" s="1"/>
  <c r="A94" i="11"/>
  <c r="BP93" i="11"/>
  <c r="BQ93" i="11" s="1"/>
  <c r="BN90" i="11" l="1"/>
  <c r="BO90" i="11" s="1"/>
  <c r="BP94" i="11"/>
  <c r="BQ94" i="11" s="1"/>
  <c r="A95" i="11"/>
  <c r="BN91" i="11" l="1"/>
  <c r="BO91" i="11" s="1"/>
  <c r="A96" i="11"/>
  <c r="BP95" i="11"/>
  <c r="BQ95" i="11" s="1"/>
  <c r="BN92" i="11" l="1"/>
  <c r="BO92" i="11" s="1"/>
  <c r="A97" i="11"/>
  <c r="BP96" i="11"/>
  <c r="BQ96" i="11" s="1"/>
  <c r="BN93" i="11" l="1"/>
  <c r="BO93" i="11" s="1"/>
  <c r="BP97" i="11"/>
  <c r="BQ97" i="11" s="1"/>
  <c r="A98" i="11"/>
  <c r="BN94" i="11" l="1"/>
  <c r="BO94" i="11" s="1"/>
  <c r="A99" i="11"/>
  <c r="BP98" i="11"/>
  <c r="BQ98" i="11" s="1"/>
  <c r="BN95" i="11" l="1"/>
  <c r="BO95" i="11" s="1"/>
  <c r="A100" i="11"/>
  <c r="BP99" i="11"/>
  <c r="BQ99" i="11" s="1"/>
  <c r="BN96" i="11" l="1"/>
  <c r="BO96" i="11" s="1"/>
  <c r="BP100" i="11"/>
  <c r="BQ100" i="11" s="1"/>
  <c r="A101" i="11"/>
  <c r="BN97" i="11" l="1"/>
  <c r="BO97" i="11" s="1"/>
  <c r="A102" i="11"/>
  <c r="BP101" i="11"/>
  <c r="BQ101" i="11" s="1"/>
  <c r="A103" i="11" l="1"/>
  <c r="BP102" i="11"/>
  <c r="BQ102" i="11" s="1"/>
  <c r="BN98" i="11"/>
  <c r="BO98" i="11" s="1"/>
  <c r="BN99" i="11" l="1"/>
  <c r="BO99" i="11" s="1"/>
  <c r="BP103" i="11"/>
  <c r="BQ103" i="11" s="1"/>
  <c r="A104" i="11"/>
  <c r="BN100" i="11" l="1"/>
  <c r="BO100" i="11" s="1"/>
  <c r="A105" i="11"/>
  <c r="BP104" i="11"/>
  <c r="BQ104" i="11" s="1"/>
  <c r="BN101" i="11" l="1"/>
  <c r="BO101" i="11" s="1"/>
  <c r="A106" i="11"/>
  <c r="BP105" i="11"/>
  <c r="BQ105" i="11" s="1"/>
  <c r="BN102" i="11" l="1"/>
  <c r="BO102" i="11" s="1"/>
  <c r="BP106" i="11"/>
  <c r="BQ106" i="11" s="1"/>
  <c r="A107" i="11"/>
  <c r="BN103" i="11" l="1"/>
  <c r="BO103" i="11" s="1"/>
  <c r="A108" i="11"/>
  <c r="BP107" i="11"/>
  <c r="BQ107" i="11" s="1"/>
  <c r="BN104" i="11" l="1"/>
  <c r="BO104" i="11" s="1"/>
  <c r="A109" i="11"/>
  <c r="BP108" i="11"/>
  <c r="BQ108" i="11" s="1"/>
  <c r="BN105" i="11" l="1"/>
  <c r="BO105" i="11" s="1"/>
  <c r="BP109" i="11"/>
  <c r="BQ109" i="11" s="1"/>
  <c r="A110" i="11"/>
  <c r="BN106" i="11" l="1"/>
  <c r="BO106" i="11" s="1"/>
  <c r="BP110" i="11"/>
  <c r="BQ110" i="11" s="1"/>
  <c r="A111" i="11"/>
  <c r="BP111" i="11" l="1"/>
  <c r="BQ111" i="11" s="1"/>
  <c r="A112" i="11"/>
  <c r="BN107" i="11"/>
  <c r="BO107" i="11" s="1"/>
  <c r="BN108" i="11" l="1"/>
  <c r="BO108" i="11" s="1"/>
  <c r="BP112" i="11"/>
  <c r="BQ112" i="11" s="1"/>
  <c r="A113" i="11"/>
  <c r="BN109" i="11" l="1"/>
  <c r="BO109" i="11" s="1"/>
  <c r="A114" i="11"/>
  <c r="BP113" i="11"/>
  <c r="BQ113" i="11" s="1"/>
  <c r="BN110" i="11" l="1"/>
  <c r="BO110" i="11" s="1"/>
  <c r="A115" i="11"/>
  <c r="BP114" i="11"/>
  <c r="BQ114" i="11" s="1"/>
  <c r="BN111" i="11" l="1"/>
  <c r="BO111" i="11" s="1"/>
  <c r="BP115" i="11"/>
  <c r="BQ115" i="11" s="1"/>
  <c r="A116" i="11"/>
  <c r="BN112" i="11" l="1"/>
  <c r="BO112" i="11" s="1"/>
  <c r="BP116" i="11"/>
  <c r="BQ116" i="11" s="1"/>
  <c r="A117" i="11"/>
  <c r="A118" i="11" l="1"/>
  <c r="BP117" i="11"/>
  <c r="BQ117" i="11" s="1"/>
  <c r="BN113" i="11"/>
  <c r="BO113" i="11" s="1"/>
  <c r="BN114" i="11" l="1"/>
  <c r="BO114" i="11" s="1"/>
  <c r="A119" i="11"/>
  <c r="BP118" i="11"/>
  <c r="BQ118" i="11" s="1"/>
  <c r="BN115" i="11" l="1"/>
  <c r="BO115" i="11" s="1"/>
  <c r="A120" i="11"/>
  <c r="BP119" i="11"/>
  <c r="BQ119" i="11" s="1"/>
  <c r="BN116" i="11" l="1"/>
  <c r="BO116" i="11" s="1"/>
  <c r="BP120" i="11"/>
  <c r="BQ120" i="11" s="1"/>
  <c r="A121" i="11"/>
  <c r="BN117" i="11" l="1"/>
  <c r="BO117" i="11" s="1"/>
  <c r="A122" i="11"/>
  <c r="BP121" i="11"/>
  <c r="BQ121" i="11" s="1"/>
  <c r="BN118" i="11" l="1"/>
  <c r="BO118" i="11" s="1"/>
  <c r="A123" i="11"/>
  <c r="BP122" i="11"/>
  <c r="BQ122" i="11" s="1"/>
  <c r="A124" i="11" l="1"/>
  <c r="BP123" i="11"/>
  <c r="BQ123" i="11" s="1"/>
  <c r="BN119" i="11"/>
  <c r="BO119" i="11" s="1"/>
  <c r="BN120" i="11" l="1"/>
  <c r="BO120" i="11" s="1"/>
  <c r="A125" i="11"/>
  <c r="BP124" i="11"/>
  <c r="BQ124" i="11" s="1"/>
  <c r="BN121" i="11" l="1"/>
  <c r="BO121" i="11" s="1"/>
  <c r="BP125" i="11"/>
  <c r="BQ125" i="11" s="1"/>
  <c r="A126" i="11"/>
  <c r="BN122" i="11" l="1"/>
  <c r="BO122" i="11" s="1"/>
  <c r="BP126" i="11"/>
  <c r="BQ126" i="11" s="1"/>
  <c r="A127" i="11"/>
  <c r="BN123" i="11" l="1"/>
  <c r="BO123" i="11" s="1"/>
  <c r="A128" i="11"/>
  <c r="BP127" i="11"/>
  <c r="BQ127" i="11" s="1"/>
  <c r="BN124" i="11" l="1"/>
  <c r="BO124" i="11" s="1"/>
  <c r="A129" i="11"/>
  <c r="BP128" i="11"/>
  <c r="BQ128" i="11" s="1"/>
  <c r="BN125" i="11" l="1"/>
  <c r="BO125" i="11" s="1"/>
  <c r="A130" i="11"/>
  <c r="BP129" i="11"/>
  <c r="BQ129" i="11" s="1"/>
  <c r="BN126" i="11" l="1"/>
  <c r="BO126" i="11" s="1"/>
  <c r="A131" i="11"/>
  <c r="BP130" i="11"/>
  <c r="BQ130" i="11" s="1"/>
  <c r="BN127" i="11" l="1"/>
  <c r="BO127" i="11" s="1"/>
  <c r="BP131" i="11"/>
  <c r="BQ131" i="11" s="1"/>
  <c r="A132" i="11"/>
  <c r="BN128" i="11" l="1"/>
  <c r="BO128" i="11" s="1"/>
  <c r="BP132" i="11"/>
  <c r="BQ132" i="11" s="1"/>
  <c r="A133" i="11"/>
  <c r="BN129" i="11" l="1"/>
  <c r="BO129" i="11" s="1"/>
  <c r="A134" i="11"/>
  <c r="BP133" i="11"/>
  <c r="BQ133" i="11" s="1"/>
  <c r="BN130" i="11" l="1"/>
  <c r="BO130" i="11" s="1"/>
  <c r="A135" i="11"/>
  <c r="BP134" i="11"/>
  <c r="BQ134" i="11" s="1"/>
  <c r="BN131" i="11" l="1"/>
  <c r="BO131" i="11" s="1"/>
  <c r="A136" i="11"/>
  <c r="BP135" i="11"/>
  <c r="BQ135" i="11" s="1"/>
  <c r="BN132" i="11" l="1"/>
  <c r="BO132" i="11" s="1"/>
  <c r="A137" i="11"/>
  <c r="BP136" i="11"/>
  <c r="BQ136" i="11" s="1"/>
  <c r="BN133" i="11" l="1"/>
  <c r="BO133" i="11" s="1"/>
  <c r="BP137" i="11"/>
  <c r="BQ137" i="11" s="1"/>
  <c r="A138" i="11"/>
  <c r="BN134" i="11" l="1"/>
  <c r="BO134" i="11" s="1"/>
  <c r="BP138" i="11"/>
  <c r="BQ138" i="11" s="1"/>
  <c r="A139" i="11"/>
  <c r="BN135" i="11" l="1"/>
  <c r="BO135" i="11" s="1"/>
  <c r="A140" i="11"/>
  <c r="BP139" i="11"/>
  <c r="BQ139" i="11" s="1"/>
  <c r="BN136" i="11" l="1"/>
  <c r="BO136" i="11" s="1"/>
  <c r="A141" i="11"/>
  <c r="BP140" i="11"/>
  <c r="BQ140" i="11" s="1"/>
  <c r="BN137" i="11" l="1"/>
  <c r="BO137" i="11" s="1"/>
  <c r="A142" i="11"/>
  <c r="BP141" i="11"/>
  <c r="BQ141" i="11" s="1"/>
  <c r="BN138" i="11" l="1"/>
  <c r="BO138" i="11" s="1"/>
  <c r="A143" i="11"/>
  <c r="BP142" i="11"/>
  <c r="BQ142" i="11" s="1"/>
  <c r="BN139" i="11" l="1"/>
  <c r="BO139" i="11" s="1"/>
  <c r="BP143" i="11"/>
  <c r="BQ143" i="11" s="1"/>
  <c r="A144" i="11"/>
  <c r="BN140" i="11" l="1"/>
  <c r="BO140" i="11" s="1"/>
  <c r="BP144" i="11"/>
  <c r="BQ144" i="11" s="1"/>
  <c r="A145" i="11"/>
  <c r="BN141" i="11" l="1"/>
  <c r="BO141" i="11" s="1"/>
  <c r="A146" i="11"/>
  <c r="BP145" i="11"/>
  <c r="BQ145" i="11" s="1"/>
  <c r="BN142" i="11" l="1"/>
  <c r="BO142" i="11" s="1"/>
  <c r="A147" i="11"/>
  <c r="BP146" i="11"/>
  <c r="BQ146" i="11" s="1"/>
  <c r="BN143" i="11" l="1"/>
  <c r="BO143" i="11" s="1"/>
  <c r="A148" i="11"/>
  <c r="BP147" i="11"/>
  <c r="BQ147" i="11" s="1"/>
  <c r="BN144" i="11" l="1"/>
  <c r="BO144" i="11" s="1"/>
  <c r="A149" i="11"/>
  <c r="BP148" i="11"/>
  <c r="BQ148" i="11" s="1"/>
  <c r="BN145" i="11" l="1"/>
  <c r="BO145" i="11" s="1"/>
  <c r="BP149" i="11"/>
  <c r="BQ149" i="11" s="1"/>
  <c r="A150" i="11"/>
  <c r="BN146" i="11" l="1"/>
  <c r="BO146" i="11" s="1"/>
  <c r="BP150" i="11"/>
  <c r="BQ150" i="11" s="1"/>
  <c r="A151" i="11"/>
  <c r="BN147" i="11" l="1"/>
  <c r="BO147" i="11" s="1"/>
  <c r="A152" i="11"/>
  <c r="BP151" i="11"/>
  <c r="BQ151" i="11" s="1"/>
  <c r="BN148" i="11" l="1"/>
  <c r="BO148" i="11" s="1"/>
  <c r="A153" i="11"/>
  <c r="BP152" i="11"/>
  <c r="BQ152" i="11" s="1"/>
  <c r="BN149" i="11" l="1"/>
  <c r="BO149" i="11" s="1"/>
  <c r="A154" i="11"/>
  <c r="BP153" i="11"/>
  <c r="BQ153" i="11" s="1"/>
  <c r="BN150" i="11" l="1"/>
  <c r="BO150" i="11" s="1"/>
  <c r="A155" i="11"/>
  <c r="BP154" i="11"/>
  <c r="BQ154" i="11" s="1"/>
  <c r="BN151" i="11" l="1"/>
  <c r="BO151" i="11" s="1"/>
  <c r="BP155" i="11"/>
  <c r="BQ155" i="11" s="1"/>
  <c r="A156" i="11"/>
  <c r="BN152" i="11" l="1"/>
  <c r="BO152" i="11" s="1"/>
  <c r="BP156" i="11"/>
  <c r="BQ156" i="11" s="1"/>
  <c r="A157" i="11"/>
  <c r="BN153" i="11" l="1"/>
  <c r="BO153" i="11" s="1"/>
  <c r="A158" i="11"/>
  <c r="BP157" i="11"/>
  <c r="BQ157" i="11" s="1"/>
  <c r="BN154" i="11" l="1"/>
  <c r="BO154" i="11" s="1"/>
  <c r="A159" i="11"/>
  <c r="BP159" i="11" s="1"/>
  <c r="BP158" i="11"/>
  <c r="BQ158" i="11" s="1"/>
  <c r="BN155" i="11" l="1"/>
  <c r="BO155" i="11" s="1"/>
  <c r="BQ159" i="11"/>
  <c r="BQ160" i="11" s="1"/>
  <c r="BP160" i="11"/>
  <c r="E4" i="11" l="1"/>
  <c r="BN156" i="11"/>
  <c r="BO156" i="11" s="1"/>
  <c r="BN157" i="11" l="1"/>
  <c r="BO157" i="11" s="1"/>
  <c r="BN158" i="11" l="1"/>
  <c r="BO158" i="11" s="1"/>
  <c r="BN159" i="11" l="1"/>
  <c r="BO159" i="11" s="1"/>
  <c r="F3" i="7" l="1"/>
  <c r="C8" i="9" l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F20" i="7"/>
  <c r="F19" i="7"/>
  <c r="F7" i="7"/>
  <c r="F12" i="7" s="1"/>
  <c r="F13" i="7" l="1"/>
  <c r="F17" i="7" s="1"/>
  <c r="C28" i="8"/>
  <c r="D8" i="9"/>
  <c r="D9" i="9" s="1"/>
  <c r="K9" i="9" s="1"/>
  <c r="A15" i="8"/>
  <c r="A14" i="8"/>
  <c r="J17" i="8"/>
  <c r="I17" i="8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C7" i="9"/>
  <c r="H28" i="8"/>
  <c r="G28" i="8"/>
  <c r="F28" i="8"/>
  <c r="F27" i="8" s="1"/>
  <c r="A28" i="8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C27" i="8" l="1"/>
  <c r="C26" i="8" s="1"/>
  <c r="C25" i="8" s="1"/>
  <c r="C24" i="8" s="1"/>
  <c r="C23" i="8" s="1"/>
  <c r="C22" i="8" s="1"/>
  <c r="C21" i="8" s="1"/>
  <c r="C20" i="8" s="1"/>
  <c r="C19" i="8" s="1"/>
  <c r="C18" i="8" s="1"/>
  <c r="D10" i="9"/>
  <c r="H26" i="8"/>
  <c r="G27" i="8"/>
  <c r="I28" i="8" s="1"/>
  <c r="G17" i="8"/>
  <c r="H17" i="8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27" i="8"/>
  <c r="A26" i="8" s="1"/>
  <c r="A25" i="8" s="1"/>
  <c r="A24" i="8" s="1"/>
  <c r="A23" i="8" s="1"/>
  <c r="A22" i="8" s="1"/>
  <c r="A21" i="8" s="1"/>
  <c r="A20" i="8" s="1"/>
  <c r="A19" i="8" s="1"/>
  <c r="A18" i="8" s="1"/>
  <c r="H27" i="8"/>
  <c r="A10" i="8"/>
  <c r="A9" i="8"/>
  <c r="D11" i="9" l="1"/>
  <c r="K10" i="9"/>
  <c r="G26" i="8"/>
  <c r="I27" i="8" s="1"/>
  <c r="F26" i="8"/>
  <c r="H25" i="8" s="1"/>
  <c r="J26" i="8" s="1"/>
  <c r="J27" i="8"/>
  <c r="J28" i="8"/>
  <c r="F25" i="8" l="1"/>
  <c r="F24" i="8" s="1"/>
  <c r="G25" i="8"/>
  <c r="I26" i="8" s="1"/>
  <c r="D12" i="9"/>
  <c r="K11" i="9"/>
  <c r="G24" i="8" l="1"/>
  <c r="H24" i="8"/>
  <c r="J25" i="8" s="1"/>
  <c r="I25" i="8"/>
  <c r="D13" i="9"/>
  <c r="K12" i="9"/>
  <c r="F23" i="8"/>
  <c r="H23" i="8"/>
  <c r="G23" i="8"/>
  <c r="I24" i="8" s="1"/>
  <c r="D14" i="9" l="1"/>
  <c r="K13" i="9"/>
  <c r="H22" i="8"/>
  <c r="G22" i="8"/>
  <c r="F22" i="8"/>
  <c r="J24" i="8"/>
  <c r="D15" i="9" l="1"/>
  <c r="K14" i="9"/>
  <c r="H21" i="8"/>
  <c r="G21" i="8"/>
  <c r="F21" i="8"/>
  <c r="I23" i="8"/>
  <c r="J23" i="8"/>
  <c r="D16" i="9" l="1"/>
  <c r="K15" i="9"/>
  <c r="G20" i="8"/>
  <c r="I21" i="8" s="1"/>
  <c r="H20" i="8"/>
  <c r="J21" i="8" s="1"/>
  <c r="F20" i="8"/>
  <c r="F19" i="8" s="1"/>
  <c r="J22" i="8"/>
  <c r="I22" i="8"/>
  <c r="D17" i="9" l="1"/>
  <c r="K16" i="9"/>
  <c r="G19" i="8"/>
  <c r="I20" i="8" s="1"/>
  <c r="H19" i="8"/>
  <c r="J20" i="8" s="1"/>
  <c r="D18" i="9" l="1"/>
  <c r="K17" i="9"/>
  <c r="H18" i="8"/>
  <c r="J18" i="8" s="1"/>
  <c r="G18" i="8"/>
  <c r="I18" i="8" s="1"/>
  <c r="D19" i="9" l="1"/>
  <c r="K18" i="9"/>
  <c r="J19" i="8"/>
  <c r="B15" i="8" s="1"/>
  <c r="I19" i="8"/>
  <c r="B14" i="8" s="1"/>
  <c r="D20" i="9" l="1"/>
  <c r="K19" i="9"/>
  <c r="D21" i="9" l="1"/>
  <c r="K20" i="9"/>
  <c r="C21" i="10" s="1"/>
  <c r="D21" i="10" s="1"/>
  <c r="C19" i="10"/>
  <c r="D19" i="10" s="1"/>
  <c r="C11" i="10"/>
  <c r="D11" i="10" s="1"/>
  <c r="C15" i="10"/>
  <c r="D15" i="10" s="1"/>
  <c r="C20" i="10"/>
  <c r="D20" i="10" s="1"/>
  <c r="C10" i="10"/>
  <c r="D10" i="10" s="1"/>
  <c r="C13" i="10"/>
  <c r="D13" i="10" s="1"/>
  <c r="C14" i="10"/>
  <c r="D14" i="10" s="1"/>
  <c r="C16" i="10"/>
  <c r="D16" i="10" s="1"/>
  <c r="C18" i="10"/>
  <c r="D18" i="10" s="1"/>
  <c r="C12" i="10"/>
  <c r="D12" i="10" s="1"/>
  <c r="K8" i="9"/>
  <c r="C9" i="10" s="1"/>
  <c r="D9" i="10" s="1"/>
  <c r="D22" i="9" l="1"/>
  <c r="K21" i="9"/>
  <c r="C22" i="10" s="1"/>
  <c r="D22" i="10" s="1"/>
  <c r="C17" i="10"/>
  <c r="D17" i="10" s="1"/>
  <c r="D23" i="9" l="1"/>
  <c r="K22" i="9"/>
  <c r="C23" i="10" s="1"/>
  <c r="D23" i="10" s="1"/>
  <c r="E11" i="10"/>
  <c r="D24" i="9" l="1"/>
  <c r="K23" i="9"/>
  <c r="C24" i="10" s="1"/>
  <c r="D24" i="10" s="1"/>
  <c r="E12" i="10"/>
  <c r="D25" i="9" l="1"/>
  <c r="K24" i="9"/>
  <c r="C25" i="10" s="1"/>
  <c r="D25" i="10" s="1"/>
  <c r="E13" i="10"/>
  <c r="D26" i="9" l="1"/>
  <c r="K25" i="9"/>
  <c r="C26" i="10" s="1"/>
  <c r="D26" i="10" s="1"/>
  <c r="E14" i="10"/>
  <c r="D27" i="9" l="1"/>
  <c r="K26" i="9"/>
  <c r="C27" i="10" s="1"/>
  <c r="D27" i="10" s="1"/>
  <c r="E16" i="10"/>
  <c r="D28" i="9" l="1"/>
  <c r="K27" i="9"/>
  <c r="C28" i="10" s="1"/>
  <c r="D28" i="10" s="1"/>
  <c r="E17" i="10"/>
  <c r="D29" i="9" l="1"/>
  <c r="K28" i="9"/>
  <c r="C29" i="10" s="1"/>
  <c r="D29" i="10" s="1"/>
  <c r="E18" i="10"/>
  <c r="D30" i="9" l="1"/>
  <c r="K29" i="9"/>
  <c r="C30" i="10" s="1"/>
  <c r="D30" i="10" s="1"/>
  <c r="E19" i="10"/>
  <c r="D31" i="9" l="1"/>
  <c r="K30" i="9"/>
  <c r="C31" i="10" s="1"/>
  <c r="D31" i="10" s="1"/>
  <c r="E20" i="10"/>
  <c r="D32" i="9" l="1"/>
  <c r="K31" i="9"/>
  <c r="C32" i="10" s="1"/>
  <c r="D32" i="10" s="1"/>
  <c r="E21" i="10"/>
  <c r="D33" i="9" l="1"/>
  <c r="K32" i="9"/>
  <c r="C33" i="10" s="1"/>
  <c r="D33" i="10" s="1"/>
  <c r="E22" i="10"/>
  <c r="D34" i="9" l="1"/>
  <c r="K33" i="9"/>
  <c r="C34" i="10" s="1"/>
  <c r="D34" i="10" s="1"/>
  <c r="E23" i="10"/>
  <c r="D35" i="9" l="1"/>
  <c r="K34" i="9"/>
  <c r="C35" i="10" s="1"/>
  <c r="D35" i="10" s="1"/>
  <c r="E24" i="10"/>
  <c r="D36" i="9" l="1"/>
  <c r="K35" i="9"/>
  <c r="C36" i="10" s="1"/>
  <c r="D36" i="10" s="1"/>
  <c r="E25" i="10"/>
  <c r="D37" i="9" l="1"/>
  <c r="K36" i="9"/>
  <c r="C37" i="10" s="1"/>
  <c r="D37" i="10" s="1"/>
  <c r="E26" i="10"/>
  <c r="D38" i="9" l="1"/>
  <c r="K37" i="9"/>
  <c r="C38" i="10" s="1"/>
  <c r="D38" i="10" s="1"/>
  <c r="E27" i="10"/>
  <c r="D39" i="9" l="1"/>
  <c r="K38" i="9"/>
  <c r="C39" i="10" s="1"/>
  <c r="D39" i="10" s="1"/>
  <c r="E28" i="10"/>
  <c r="D40" i="9" l="1"/>
  <c r="K39" i="9"/>
  <c r="C40" i="10" s="1"/>
  <c r="D40" i="10" s="1"/>
  <c r="E29" i="10"/>
  <c r="D41" i="9" l="1"/>
  <c r="K40" i="9"/>
  <c r="C41" i="10" s="1"/>
  <c r="D41" i="10" s="1"/>
  <c r="E30" i="10"/>
  <c r="D42" i="9" l="1"/>
  <c r="K41" i="9"/>
  <c r="C42" i="10" s="1"/>
  <c r="D42" i="10" s="1"/>
  <c r="E31" i="10"/>
  <c r="D43" i="9" l="1"/>
  <c r="K43" i="9" s="1"/>
  <c r="C44" i="10" s="1"/>
  <c r="D44" i="10" s="1"/>
  <c r="K42" i="9"/>
  <c r="C43" i="10" s="1"/>
  <c r="D43" i="10" s="1"/>
  <c r="E32" i="10"/>
  <c r="E33" i="10" l="1"/>
  <c r="E34" i="10" l="1"/>
  <c r="E35" i="10" l="1"/>
  <c r="E36" i="10" l="1"/>
  <c r="E37" i="10" l="1"/>
  <c r="E39" i="10" l="1"/>
  <c r="E40" i="10" l="1"/>
  <c r="E41" i="10" l="1"/>
  <c r="E42" i="10" l="1"/>
  <c r="E43" i="10" l="1"/>
  <c r="E44" i="10" l="1"/>
</calcChain>
</file>

<file path=xl/sharedStrings.xml><?xml version="1.0" encoding="utf-8"?>
<sst xmlns="http://schemas.openxmlformats.org/spreadsheetml/2006/main" count="149" uniqueCount="138">
  <si>
    <t>INFORMAÇÕES PRELIMINARES</t>
  </si>
  <si>
    <t>CONTRIBUIÇÕES FUTURAS DE APOSENTADOS  E PENSIONISTAS -  BENEFÍCIOS CONCEDIDOS</t>
  </si>
  <si>
    <t>CONTRIBUIÇÕES FUTURAS DO ENTE - BENEFÍCIOS A CONCEDER</t>
  </si>
  <si>
    <t>CONTRIBUIÇÕES FUTURAS DOS ATIVOS - BENEFÍCIOS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</si>
  <si>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</si>
  <si>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</si>
  <si>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</si>
  <si>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</si>
  <si>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</si>
  <si>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</si>
  <si>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</si>
  <si>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</si>
  <si>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</si>
  <si>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</si>
  <si>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</si>
  <si>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</si>
  <si>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 - Contribuições dos Aposentados</t>
  </si>
  <si>
    <t>Benefícios Concedidos - Contribuições Futuras dos Aposentados - Aposentadorias Programadas</t>
  </si>
  <si>
    <t>Benefícios Concedidos - Contribuições Futuras dos Aposentados - Aposentadorias Especiais de Professores</t>
  </si>
  <si>
    <t>Benefícios Concedidos - Contribuições Futuras dos Aposentados - Outras Aposentadorias Especiais</t>
  </si>
  <si>
    <t>Benefícios Concedidos - Contribuições Futuras dos Aposentados - Aposentadorias por Invalidez</t>
  </si>
  <si>
    <t>Benefícios Concedidos - Contribuições  dos Pensionistas</t>
  </si>
  <si>
    <t>Benefícios Concedidos - Compensação Previdenciária a Receber</t>
  </si>
  <si>
    <t>Benefícios a Conceder - Contribuições do Ente</t>
  </si>
  <si>
    <t>Benefícios a Conceder - Contribuições Futuras do Ente  - Aposentadorias Programadas</t>
  </si>
  <si>
    <t>Benefícios a Conceder - Contribuições Futuras do Ente  - Aposentadorias Especiais de Professores</t>
  </si>
  <si>
    <t>Benefícios a Conceder - Contribuições Futuras do Ente  - Outras Aposentadorias Especiais</t>
  </si>
  <si>
    <t>Benefícios a Conceder - Contribuições Futuras do Ente  - Aposentadorias por Invalidez</t>
  </si>
  <si>
    <t>Benefícios a Conceder - Contribuições Futuras do Ente  - Pensões Por Morte de Servidores em Atividade</t>
  </si>
  <si>
    <t>Benefícios a Conceder - Contribuições Futuras do Ente  - Pensões Por Morte de Aposentados</t>
  </si>
  <si>
    <t>Benefícios a Conceder - Contribuições Futuras do Ente  -  Outros Benefícios e Auxílios</t>
  </si>
  <si>
    <t>Benefícios a Conceder - Contribuições dos Segurados Ativos</t>
  </si>
  <si>
    <t>Benefícios a Conceder - Contribuições Futuras dos Segurados Ativos - Aposentadorias Programadas</t>
  </si>
  <si>
    <t>Benefícios a Conceder - Contribuições Futuras dos Segurados Ativos - Aposentadorias Especiais de Professores</t>
  </si>
  <si>
    <t>Benefícios a Conceder - Contribuições Futuras dos Segurados Ativos - Outras Aposentadorias Especiais</t>
  </si>
  <si>
    <t>Benefícios a Conceder - Contribuições Futuras dos Segurados Ativos - Aposentadorias por Invalidez</t>
  </si>
  <si>
    <t>Benefícios a Conceder - Contribuições Futuras dos Segurados Ativos  - Pensões Por Morte de Segurados em Atividade</t>
  </si>
  <si>
    <t>Benefícios a Conceder - Contribuições Futuras dos Segurados Ativos - Pensões Por Morte de Aposentados</t>
  </si>
  <si>
    <t>Benefícios a Conceder - Contribuições Futuras dos Segurados Ativos  -  Outros Benefícios e Auxílios</t>
  </si>
  <si>
    <t>Benefícios a Conceder - Contribuições dos Aposentados</t>
  </si>
  <si>
    <t>Benefícios a Conceder - Contribuições Futuras dos Aposentados  - Aposentadorias Programadas</t>
  </si>
  <si>
    <t>Benefícios a Conceder - Contribuições Futuras dos Aposentados  - Aposentadorias Especiais de Professores</t>
  </si>
  <si>
    <t>Benefícios a Conceder - Contribuições Futuras dos Aposentados  - Outras Aposentadorias Especiais</t>
  </si>
  <si>
    <t>Benefícios a Conceder - Contribuições Futuras dos Aposentados  - Aposentadorias por Invalidez</t>
  </si>
  <si>
    <t>Benefícios a Conceder - Contribuições dos Pensionistas</t>
  </si>
  <si>
    <t>Benefícios a Conceder - Contribuições Futuras dos Pensionistas - Aposentadorias Programadas</t>
  </si>
  <si>
    <t>Benefícios a Conceder - Contribuições Futuras dos Pensionistas - Aposentadorias Especiais de Professores</t>
  </si>
  <si>
    <t>Benefícios a Conceder - Contribuições Futuras dos Pensionistas - Outras Aposentadorias Especiais</t>
  </si>
  <si>
    <t>Benefícios a Conceder - Contribuições Futuras dos Pensionistas - Aposentadorias por Invalidez</t>
  </si>
  <si>
    <t>Benefícios a Conceder - Contribuições Futuras dos Pensionistas - Pensões Por Morte de Segurados em Atividade</t>
  </si>
  <si>
    <t>Benefícios a Conceder - Compensação Previdenciária a Receber</t>
  </si>
  <si>
    <t>Plano de Amortização do Déficit Atuarial estabelecido em lei</t>
  </si>
  <si>
    <t>Parcelamentos de Débitos Previdenciários</t>
  </si>
  <si>
    <t>Valor Atual da Cobertura da Insuficiência Financeira (Outras Receitas)</t>
  </si>
  <si>
    <t>(A) TOTAL DAS RECEITAS COM CONTRIBUIÇÕES E COMPENSAÇÃO PREVIDENCIÁRIA</t>
  </si>
  <si>
    <t>Benefícios Concedidos -  Encargos</t>
  </si>
  <si>
    <t>Benefícios Concedidos - Encargos - Aposentadorias Programadas</t>
  </si>
  <si>
    <t>Benefícios Concedidos - Encargos - Aposentadorias Especiais de Professores</t>
  </si>
  <si>
    <t>Benefícios Concedidos - Encargos - Outras Aposentadorias Especiais</t>
  </si>
  <si>
    <t>Benefícios Concedidos - Encargos - Aposentadorias por Invalidez</t>
  </si>
  <si>
    <t>Benefícios Concedidos - Encargos - Pensões Por Morte</t>
  </si>
  <si>
    <t>Benefícios Concedidos - Encargos - Compensação Previdenciária a Pagar</t>
  </si>
  <si>
    <t>Benefícios a Conceder - Encargos</t>
  </si>
  <si>
    <t>Benefícios a Conceder - Encargos -  Aposentadorias Programadas</t>
  </si>
  <si>
    <t>Benefícios a Conceder - Encargos -  Aposentadorias Especiais de Professores</t>
  </si>
  <si>
    <t>Benefícios a Conceder - Encargos -  Outras Aposentadorias Especiais</t>
  </si>
  <si>
    <t>Benefícios a Conceder - Encargos -  Aposentadorias por Invalidez</t>
  </si>
  <si>
    <t>Benefícios a Conceder - Encargos -  Pensões Por Morte de Servidores em Atividade</t>
  </si>
  <si>
    <t>Benefícios a Conceder - Encargos -  Pensões Por Morte de Aposentados</t>
  </si>
  <si>
    <t>Benefícios a Conceder - Encargos -  Outros Benefícios e Auxílios</t>
  </si>
  <si>
    <t>Benefícios a Conceder - Encargos -  Compensação Previdenciária a Pagar</t>
  </si>
  <si>
    <t>Outras Despesas</t>
  </si>
  <si>
    <t>(B) TOTAL  DAS DESPESAS COM BENEFÍCIOS DO PLANO</t>
  </si>
  <si>
    <t>(C) INSUFICIÊNCIA OU EXCEDENTE FINANCEIRO (A-B)</t>
  </si>
  <si>
    <t>(D) SALDO ACUMULADO DO EXERCÍCIO  A VALOR ATUAL</t>
  </si>
  <si>
    <t>(E) RENTABILIDADE ESPERADA (%)</t>
  </si>
  <si>
    <t>Totais de Controle:</t>
  </si>
  <si>
    <t>Totais de Controle  a Valor Atual:</t>
  </si>
  <si>
    <t>Duração do Passivo</t>
  </si>
  <si>
    <t>( H ) BENEFÍCIOS LÍQUIDOS A VALOR PRESENTE</t>
  </si>
  <si>
    <t>( I ) BENEFÍCIOS LÍQUIDOS PONDERADOS PELO INSTANTE</t>
  </si>
  <si>
    <t>CÁLCULO DURATION</t>
  </si>
  <si>
    <t>Taxa de Juros da avaliação atuarial do exercício anterior:</t>
  </si>
  <si>
    <t>DESPESA COM PESSOAL</t>
  </si>
  <si>
    <t>DESPESAS EXECUTADAS</t>
  </si>
  <si>
    <t>(Últimos 12 Meses)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</si>
  <si>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</si>
  <si>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</si>
  <si>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</si>
  <si>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</si>
  <si>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</si>
  <si>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</si>
  <si>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</si>
  <si>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</si>
  <si>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</si>
  <si>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</si>
  <si>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</si>
  <si>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</si>
  <si>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</si>
  <si>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</si>
  <si>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- &lt;%&gt;</t>
  </si>
  <si>
    <t>LIMITE PRUDENCIAL (parágrafo único, art. 22 da LRF) - &lt;%&gt;</t>
  </si>
  <si>
    <t>LIMITE DE ALERTA (inciso II do § 1º do art. 59 da LRF) - &lt;%&gt;</t>
  </si>
  <si>
    <t>Ano base da Avaliação</t>
  </si>
  <si>
    <t>Data Base:</t>
  </si>
  <si>
    <t>Data Cálculo:</t>
  </si>
  <si>
    <t>Calculado</t>
  </si>
  <si>
    <t>Informado</t>
  </si>
  <si>
    <t>Despesa com Pessoal (exceto RPPS)</t>
  </si>
  <si>
    <t>Dívida Consolidada Líquida – DCL</t>
  </si>
  <si>
    <t>Resultado Atuarial</t>
  </si>
  <si>
    <t>ANO</t>
  </si>
  <si>
    <t>RECEITA CORRENTE LÍQUIDA - RCL</t>
  </si>
  <si>
    <t>DESPESA LÍQUIDA COM PESSOAL</t>
  </si>
  <si>
    <t>Inflação do Ano</t>
  </si>
  <si>
    <t>Inflação Acumulada</t>
  </si>
  <si>
    <t>02 - Incremento do Custeio Especial proposto na RCL projetada do Ente</t>
  </si>
  <si>
    <t>Ente:</t>
  </si>
  <si>
    <t>Impacto do deficit atuarial após a inclusão no Quociente do Limite de Endividamento</t>
  </si>
  <si>
    <t>No.</t>
  </si>
  <si>
    <t>Aposentadorias e Pensões (Códigos 210000 e 220000)</t>
  </si>
  <si>
    <t>Contribuição Patronal (Código 121000 - Todos os Planos)</t>
  </si>
  <si>
    <t>Contribuição Suplementar (Código 130101 - Todos os Planos)</t>
  </si>
  <si>
    <t>Parcelamentos (Código 130201 - Todos os Planos)</t>
  </si>
  <si>
    <t>Insuficiência ou Excedente Financeiro (Código 250001 - Todos os Planos)</t>
  </si>
  <si>
    <t>Despesa com Pessoal - LRF</t>
  </si>
  <si>
    <t>Evolução dos Recursos Garantidores (Código 290001)</t>
  </si>
  <si>
    <t>Impacto da Despesa Total de Pessoal na RCL</t>
  </si>
  <si>
    <t>Relação com Limite Prudencial (Parágrafo único do art. 22 da LRF)</t>
  </si>
  <si>
    <t>Efetividade do Plano de Amortização</t>
  </si>
  <si>
    <t>Pessoal Ativo Efetivo (Código 109001)</t>
  </si>
  <si>
    <t>Indicadores de Viabilidade do Plano de Custeio</t>
  </si>
  <si>
    <t>01 - Crescimento Médio da Receita Corrente Líquida (RCL) e Despesa com Pessoal</t>
  </si>
  <si>
    <t>FLUXO ATUARIAL   -   CIVIL   -   PLANO PREVIDENCIÁRIO   -   BENEFÍCIOS AVALIADOS EM REGIME FINANCEIRO DE CAPITALIZAÇÃO   -   GERAÇÃO ATUAL</t>
  </si>
  <si>
    <t>(F) RENTABILIDADE
 (dos Ativos que compõem os Recursos Garantidores)</t>
  </si>
  <si>
    <r>
      <t>(G) EVOLUÇÃO DOS RECURSOS GARANTIDORES
 (I</t>
    </r>
    <r>
      <rPr>
        <b/>
        <sz val="11"/>
        <rFont val="Arial Narrow"/>
        <family val="2"/>
        <charset val="1"/>
      </rPr>
      <t>nformar o valor acumulado na data da avaliação)</t>
    </r>
  </si>
  <si>
    <t>Decorrentes de Decisão Judicial de período anterior ao da apuração/Instrução Normativa TCE/PR 56/2011 - IRRF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</si>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</sst>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_-* #,##0.00_-;\-* #,##0.00_-;_-* \-??_-;_-@_-"/>
    <numFmt numFmtId="166" formatCode="#,##0.00###"/>
    <numFmt numFmtId="167" formatCode="#,##0.00_ ;[Red]\-#,##0.00\ "/>
    <numFmt numFmtId="168" formatCode="_(* #,##0.00_);_(* \(#,##0.00\);_(* &quot;-&quot;??_);_(@_)"/>
    <numFmt numFmtId="169" formatCode="0.0%"/>
  </numFmts>
  <fonts count="36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 Narrow"/>
      <family val="2"/>
      <charset val="1"/>
    </font>
    <font>
      <b/>
      <sz val="12"/>
      <name val="Arial Narrow"/>
      <family val="2"/>
      <charset val="1"/>
    </font>
    <font>
      <b/>
      <sz val="20"/>
      <name val="Arial Narrow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FF"/>
      <name val="Arial Narrow"/>
      <family val="2"/>
      <charset val="1"/>
    </font>
    <font>
      <sz val="10"/>
      <name val="Mangal"/>
      <family val="2"/>
      <charset val="1"/>
    </font>
    <font>
      <b/>
      <sz val="12"/>
      <color rgb="FFFFFFFF"/>
      <name val="Arial Narrow"/>
      <family val="2"/>
      <charset val="1"/>
    </font>
    <font>
      <b/>
      <sz val="12"/>
      <color rgb="FF0000CC"/>
      <name val="Arial Narrow"/>
      <family val="2"/>
      <charset val="1"/>
    </font>
    <font>
      <sz val="12"/>
      <color rgb="FF0000FF"/>
      <name val="Arial Narrow"/>
      <family val="2"/>
      <charset val="1"/>
    </font>
    <font>
      <sz val="12"/>
      <name val="Arial Narrow"/>
      <family val="2"/>
      <charset val="1"/>
    </font>
    <font>
      <b/>
      <sz val="10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6"/>
      <name val="Arial Narrow"/>
      <family val="2"/>
      <charset val="1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1"/>
      <name val="Arial Narrow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color indexed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 Narrow"/>
      <family val="2"/>
      <charset val="1"/>
    </font>
    <font>
      <sz val="8"/>
      <color rgb="FF0000FF"/>
      <name val="Arial Narrow"/>
      <family val="2"/>
    </font>
    <font>
      <b/>
      <sz val="8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BFBFBF"/>
        <bgColor rgb="FFD6DCE5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D6DCE5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165" fontId="10" fillId="0" borderId="0" applyBorder="0" applyProtection="0"/>
    <xf numFmtId="9" fontId="10" fillId="0" borderId="0" applyBorder="0" applyProtection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44">
    <xf numFmtId="0" fontId="0" fillId="0" borderId="0" xfId="0"/>
    <xf numFmtId="0" fontId="3" fillId="3" borderId="3" xfId="2" applyNumberFormat="1" applyFont="1" applyFill="1" applyBorder="1" applyAlignment="1" applyProtection="1"/>
    <xf numFmtId="0" fontId="5" fillId="3" borderId="4" xfId="2" applyNumberFormat="1" applyFont="1" applyFill="1" applyBorder="1" applyAlignment="1" applyProtection="1"/>
    <xf numFmtId="164" fontId="5" fillId="3" borderId="4" xfId="2" applyNumberFormat="1" applyFont="1" applyFill="1" applyBorder="1" applyAlignment="1" applyProtection="1"/>
    <xf numFmtId="0" fontId="5" fillId="3" borderId="5" xfId="2" applyNumberFormat="1" applyFont="1" applyFill="1" applyBorder="1" applyAlignment="1" applyProtection="1"/>
    <xf numFmtId="0" fontId="6" fillId="3" borderId="3" xfId="2" applyNumberFormat="1" applyFont="1" applyFill="1" applyBorder="1" applyAlignment="1" applyProtection="1"/>
    <xf numFmtId="0" fontId="6" fillId="3" borderId="4" xfId="2" applyNumberFormat="1" applyFont="1" applyFill="1" applyBorder="1" applyAlignment="1" applyProtection="1"/>
    <xf numFmtId="0" fontId="7" fillId="3" borderId="4" xfId="2" applyNumberFormat="1" applyFont="1" applyFill="1" applyBorder="1" applyAlignment="1" applyProtection="1"/>
    <xf numFmtId="0" fontId="7" fillId="3" borderId="5" xfId="2" applyNumberFormat="1" applyFont="1" applyFill="1" applyBorder="1" applyAlignment="1" applyProtection="1"/>
    <xf numFmtId="0" fontId="3" fillId="3" borderId="5" xfId="2" applyNumberFormat="1" applyFont="1" applyFill="1" applyBorder="1" applyAlignment="1" applyProtection="1">
      <alignment horizontal="center"/>
    </xf>
    <xf numFmtId="0" fontId="3" fillId="3" borderId="4" xfId="2" applyNumberFormat="1" applyFont="1" applyFill="1" applyBorder="1" applyAlignment="1" applyProtection="1"/>
    <xf numFmtId="0" fontId="3" fillId="3" borderId="5" xfId="2" applyNumberFormat="1" applyFont="1" applyFill="1" applyBorder="1" applyAlignment="1" applyProtection="1"/>
    <xf numFmtId="0" fontId="3" fillId="3" borderId="6" xfId="2" applyNumberFormat="1" applyFont="1" applyFill="1" applyBorder="1" applyAlignment="1" applyProtection="1">
      <alignment horizontal="center"/>
    </xf>
    <xf numFmtId="0" fontId="1" fillId="3" borderId="4" xfId="2" applyNumberFormat="1" applyFont="1" applyFill="1" applyBorder="1" applyAlignment="1" applyProtection="1"/>
    <xf numFmtId="0" fontId="8" fillId="3" borderId="4" xfId="2" applyNumberFormat="1" applyFont="1" applyFill="1" applyBorder="1" applyAlignment="1" applyProtection="1"/>
    <xf numFmtId="0" fontId="1" fillId="3" borderId="5" xfId="2" applyNumberFormat="1" applyFont="1" applyFill="1" applyBorder="1" applyAlignment="1" applyProtection="1"/>
    <xf numFmtId="1" fontId="9" fillId="0" borderId="7" xfId="2" applyNumberFormat="1" applyFont="1" applyBorder="1" applyAlignment="1" applyProtection="1">
      <alignment horizontal="center" vertical="center"/>
    </xf>
    <xf numFmtId="1" fontId="9" fillId="0" borderId="8" xfId="2" applyNumberFormat="1" applyFont="1" applyBorder="1" applyAlignment="1" applyProtection="1">
      <alignment horizontal="center" vertical="center"/>
    </xf>
    <xf numFmtId="1" fontId="9" fillId="4" borderId="8" xfId="2" applyNumberFormat="1" applyFont="1" applyFill="1" applyBorder="1" applyAlignment="1" applyProtection="1">
      <alignment horizontal="center" vertical="center"/>
    </xf>
    <xf numFmtId="1" fontId="2" fillId="4" borderId="8" xfId="2" applyNumberFormat="1" applyFont="1" applyFill="1" applyBorder="1" applyAlignment="1" applyProtection="1">
      <alignment horizontal="center" vertical="center"/>
    </xf>
    <xf numFmtId="1" fontId="3" fillId="0" borderId="8" xfId="2" applyNumberFormat="1" applyFont="1" applyBorder="1" applyAlignment="1" applyProtection="1">
      <alignment horizontal="center" vertical="center"/>
    </xf>
    <xf numFmtId="1" fontId="2" fillId="0" borderId="8" xfId="2" applyNumberFormat="1" applyFont="1" applyBorder="1" applyAlignment="1" applyProtection="1">
      <alignment horizontal="center" vertical="center"/>
    </xf>
    <xf numFmtId="10" fontId="9" fillId="0" borderId="7" xfId="2" applyNumberFormat="1" applyFont="1" applyBorder="1" applyAlignment="1" applyProtection="1">
      <alignment horizontal="center" vertical="center" wrapText="1"/>
    </xf>
    <xf numFmtId="164" fontId="3" fillId="0" borderId="8" xfId="2" applyNumberFormat="1" applyFont="1" applyBorder="1" applyAlignment="1" applyProtection="1">
      <alignment horizontal="center" vertical="center" wrapText="1"/>
    </xf>
    <xf numFmtId="2" fontId="9" fillId="0" borderId="8" xfId="2" applyNumberFormat="1" applyFont="1" applyBorder="1" applyAlignment="1" applyProtection="1">
      <alignment horizontal="center" vertical="center" wrapText="1"/>
    </xf>
    <xf numFmtId="10" fontId="9" fillId="0" borderId="8" xfId="2" applyNumberFormat="1" applyFont="1" applyBorder="1" applyAlignment="1" applyProtection="1">
      <alignment horizontal="center" vertical="center" wrapText="1"/>
    </xf>
    <xf numFmtId="10" fontId="3" fillId="0" borderId="8" xfId="2" applyNumberFormat="1" applyFont="1" applyBorder="1" applyAlignment="1" applyProtection="1">
      <alignment horizontal="center" vertical="center" wrapText="1"/>
    </xf>
    <xf numFmtId="10" fontId="3" fillId="4" borderId="8" xfId="2" applyNumberFormat="1" applyFont="1" applyFill="1" applyBorder="1" applyAlignment="1" applyProtection="1">
      <alignment horizontal="center" vertical="center" wrapText="1"/>
    </xf>
    <xf numFmtId="166" fontId="12" fillId="6" borderId="9" xfId="2" applyNumberFormat="1" applyFont="1" applyFill="1" applyBorder="1" applyAlignment="1" applyProtection="1">
      <alignment horizontal="center"/>
      <protection locked="0"/>
    </xf>
    <xf numFmtId="166" fontId="13" fillId="6" borderId="8" xfId="2" applyNumberFormat="1" applyFont="1" applyFill="1" applyBorder="1" applyAlignment="1" applyProtection="1">
      <alignment horizontal="center"/>
      <protection locked="0"/>
    </xf>
    <xf numFmtId="167" fontId="11" fillId="5" borderId="16" xfId="1" applyNumberFormat="1" applyFont="1" applyFill="1" applyBorder="1" applyAlignment="1" applyProtection="1">
      <alignment horizontal="center"/>
    </xf>
    <xf numFmtId="0" fontId="9" fillId="0" borderId="8" xfId="2" applyNumberFormat="1" applyFont="1" applyBorder="1" applyAlignment="1" applyProtection="1">
      <alignment horizontal="center" vertical="center"/>
    </xf>
    <xf numFmtId="0" fontId="9" fillId="0" borderId="8" xfId="2" applyNumberFormat="1" applyFont="1" applyBorder="1" applyAlignment="1" applyProtection="1">
      <alignment horizontal="center" vertical="center" wrapText="1"/>
    </xf>
    <xf numFmtId="0" fontId="13" fillId="6" borderId="8" xfId="2" applyNumberFormat="1" applyFont="1" applyFill="1" applyBorder="1" applyAlignment="1" applyProtection="1">
      <alignment horizontal="center"/>
      <protection locked="0"/>
    </xf>
    <xf numFmtId="0" fontId="4" fillId="8" borderId="0" xfId="2" applyNumberFormat="1" applyFont="1" applyFill="1" applyAlignment="1" applyProtection="1">
      <alignment horizontal="left"/>
    </xf>
    <xf numFmtId="0" fontId="3" fillId="8" borderId="0" xfId="2" applyNumberFormat="1" applyFont="1" applyFill="1" applyProtection="1"/>
    <xf numFmtId="164" fontId="3" fillId="8" borderId="0" xfId="2" applyNumberFormat="1" applyFont="1" applyFill="1" applyAlignment="1" applyProtection="1">
      <alignment horizontal="center"/>
    </xf>
    <xf numFmtId="0" fontId="3" fillId="7" borderId="0" xfId="2" applyNumberFormat="1" applyFont="1" applyFill="1" applyProtection="1"/>
    <xf numFmtId="0" fontId="17" fillId="9" borderId="22" xfId="2" applyNumberFormat="1" applyFont="1" applyFill="1" applyBorder="1" applyProtection="1"/>
    <xf numFmtId="0" fontId="11" fillId="5" borderId="8" xfId="2" applyNumberFormat="1" applyFont="1" applyFill="1" applyBorder="1" applyAlignment="1" applyProtection="1">
      <alignment horizontal="center"/>
    </xf>
    <xf numFmtId="4" fontId="3" fillId="0" borderId="13" xfId="2" applyNumberFormat="1" applyFont="1" applyBorder="1" applyAlignment="1" applyProtection="1">
      <alignment horizontal="center"/>
    </xf>
    <xf numFmtId="4" fontId="3" fillId="0" borderId="16" xfId="2" applyNumberFormat="1" applyFont="1" applyBorder="1" applyAlignment="1" applyProtection="1">
      <alignment horizontal="center"/>
    </xf>
    <xf numFmtId="0" fontId="2" fillId="0" borderId="0" xfId="2" applyNumberFormat="1" applyFont="1" applyBorder="1" applyProtection="1"/>
    <xf numFmtId="0" fontId="21" fillId="7" borderId="0" xfId="4" applyFont="1" applyFill="1" applyBorder="1" applyAlignment="1">
      <alignment horizontal="center" vertical="center" wrapText="1"/>
    </xf>
    <xf numFmtId="0" fontId="23" fillId="7" borderId="0" xfId="4" applyFont="1" applyFill="1" applyBorder="1" applyAlignment="1">
      <alignment horizontal="center" vertical="center" wrapText="1"/>
    </xf>
    <xf numFmtId="0" fontId="18" fillId="7" borderId="0" xfId="4" applyFont="1" applyFill="1" applyBorder="1" applyAlignment="1">
      <alignment horizontal="center" vertical="center" wrapText="1"/>
    </xf>
    <xf numFmtId="0" fontId="23" fillId="7" borderId="0" xfId="4" applyFont="1" applyFill="1" applyBorder="1" applyAlignment="1">
      <alignment horizontal="center" vertical="center" textRotation="90" wrapText="1"/>
    </xf>
    <xf numFmtId="0" fontId="21" fillId="7" borderId="7" xfId="6" applyNumberFormat="1" applyFont="1" applyFill="1" applyBorder="1" applyAlignment="1">
      <alignment horizontal="center" vertical="center" wrapText="1"/>
    </xf>
    <xf numFmtId="10" fontId="24" fillId="7" borderId="9" xfId="5" applyNumberFormat="1" applyFont="1" applyFill="1" applyBorder="1" applyAlignment="1">
      <alignment horizontal="center" vertical="center" wrapText="1"/>
    </xf>
    <xf numFmtId="0" fontId="21" fillId="7" borderId="0" xfId="4" applyFont="1" applyFill="1" applyAlignment="1">
      <alignment horizontal="center" vertical="center" wrapText="1"/>
    </xf>
    <xf numFmtId="0" fontId="25" fillId="7" borderId="0" xfId="4" applyFont="1" applyFill="1" applyBorder="1" applyAlignment="1">
      <alignment horizontal="center" vertical="center" wrapText="1"/>
    </xf>
    <xf numFmtId="0" fontId="26" fillId="7" borderId="0" xfId="4" applyFont="1" applyFill="1"/>
    <xf numFmtId="0" fontId="27" fillId="7" borderId="0" xfId="4" applyFont="1" applyFill="1" applyAlignment="1"/>
    <xf numFmtId="0" fontId="26" fillId="7" borderId="0" xfId="4" applyFont="1" applyFill="1" applyBorder="1" applyAlignment="1">
      <alignment horizontal="center" vertical="center" wrapText="1"/>
    </xf>
    <xf numFmtId="0" fontId="26" fillId="7" borderId="0" xfId="4" applyFont="1" applyFill="1" applyBorder="1"/>
    <xf numFmtId="0" fontId="27" fillId="7" borderId="0" xfId="4" applyFont="1" applyFill="1" applyBorder="1" applyAlignment="1">
      <alignment horizontal="center" vertical="center" wrapText="1"/>
    </xf>
    <xf numFmtId="0" fontId="26" fillId="7" borderId="34" xfId="4" applyFont="1" applyFill="1" applyBorder="1" applyAlignment="1">
      <alignment horizontal="center" vertical="center" wrapText="1"/>
    </xf>
    <xf numFmtId="0" fontId="26" fillId="7" borderId="35" xfId="4" applyFont="1" applyFill="1" applyBorder="1" applyAlignment="1">
      <alignment horizontal="center" vertical="center" wrapText="1"/>
    </xf>
    <xf numFmtId="0" fontId="26" fillId="7" borderId="36" xfId="4" applyFont="1" applyFill="1" applyBorder="1" applyAlignment="1">
      <alignment horizontal="center" vertical="center" wrapText="1"/>
    </xf>
    <xf numFmtId="0" fontId="26" fillId="7" borderId="38" xfId="4" applyFont="1" applyFill="1" applyBorder="1" applyAlignment="1">
      <alignment horizontal="center" vertical="center" wrapText="1"/>
    </xf>
    <xf numFmtId="0" fontId="27" fillId="7" borderId="0" xfId="4" applyFont="1" applyFill="1" applyBorder="1" applyAlignment="1">
      <alignment horizontal="center" vertical="center" textRotation="90" wrapText="1"/>
    </xf>
    <xf numFmtId="0" fontId="26" fillId="7" borderId="7" xfId="6" applyNumberFormat="1" applyFont="1" applyFill="1" applyBorder="1" applyAlignment="1">
      <alignment horizontal="center" vertical="center" wrapText="1"/>
    </xf>
    <xf numFmtId="168" fontId="26" fillId="7" borderId="8" xfId="6" applyFont="1" applyFill="1" applyBorder="1" applyAlignment="1">
      <alignment horizontal="center" vertical="center" wrapText="1"/>
    </xf>
    <xf numFmtId="0" fontId="26" fillId="7" borderId="41" xfId="6" applyNumberFormat="1" applyFont="1" applyFill="1" applyBorder="1" applyAlignment="1">
      <alignment horizontal="center" vertical="center" wrapText="1"/>
    </xf>
    <xf numFmtId="0" fontId="26" fillId="7" borderId="0" xfId="4" applyFont="1" applyFill="1" applyAlignment="1">
      <alignment horizontal="center" vertical="center" wrapText="1"/>
    </xf>
    <xf numFmtId="0" fontId="28" fillId="7" borderId="0" xfId="4" applyFont="1" applyFill="1" applyBorder="1" applyAlignment="1">
      <alignment horizontal="center" vertical="center" wrapText="1"/>
    </xf>
    <xf numFmtId="0" fontId="30" fillId="7" borderId="0" xfId="4" applyFont="1" applyFill="1" applyAlignment="1"/>
    <xf numFmtId="0" fontId="27" fillId="7" borderId="0" xfId="4" applyFont="1" applyFill="1" applyAlignment="1">
      <alignment horizontal="center" vertical="center" wrapText="1"/>
    </xf>
    <xf numFmtId="0" fontId="27" fillId="7" borderId="18" xfId="4" applyFont="1" applyFill="1" applyBorder="1" applyAlignment="1">
      <alignment horizontal="center" vertical="center" wrapText="1"/>
    </xf>
    <xf numFmtId="0" fontId="26" fillId="7" borderId="23" xfId="4" applyFont="1" applyFill="1" applyBorder="1" applyAlignment="1">
      <alignment horizontal="center" vertical="center" wrapText="1"/>
    </xf>
    <xf numFmtId="0" fontId="30" fillId="7" borderId="0" xfId="4" applyFont="1" applyFill="1" applyAlignment="1">
      <alignment horizontal="left" vertical="center"/>
    </xf>
    <xf numFmtId="10" fontId="26" fillId="7" borderId="0" xfId="5" applyNumberFormat="1" applyFont="1" applyFill="1" applyBorder="1" applyAlignment="1">
      <alignment horizontal="center" vertical="center" wrapText="1"/>
    </xf>
    <xf numFmtId="168" fontId="26" fillId="11" borderId="8" xfId="6" applyFont="1" applyFill="1" applyBorder="1" applyAlignment="1">
      <alignment horizontal="center" vertical="center" wrapText="1"/>
    </xf>
    <xf numFmtId="10" fontId="26" fillId="11" borderId="8" xfId="5" applyNumberFormat="1" applyFont="1" applyFill="1" applyBorder="1" applyAlignment="1">
      <alignment horizontal="center" vertical="center" wrapText="1"/>
    </xf>
    <xf numFmtId="0" fontId="27" fillId="7" borderId="42" xfId="6" applyNumberFormat="1" applyFont="1" applyFill="1" applyBorder="1" applyAlignment="1">
      <alignment horizontal="center" vertical="center" wrapText="1"/>
    </xf>
    <xf numFmtId="0" fontId="27" fillId="7" borderId="43" xfId="4" applyFont="1" applyFill="1" applyBorder="1" applyAlignment="1">
      <alignment horizontal="center" vertical="center" wrapText="1"/>
    </xf>
    <xf numFmtId="0" fontId="27" fillId="7" borderId="44" xfId="4" applyFont="1" applyFill="1" applyBorder="1" applyAlignment="1">
      <alignment horizontal="center" vertical="center" wrapText="1"/>
    </xf>
    <xf numFmtId="0" fontId="27" fillId="7" borderId="45" xfId="4" applyFont="1" applyFill="1" applyBorder="1" applyAlignment="1">
      <alignment horizontal="center" vertical="center" wrapText="1"/>
    </xf>
    <xf numFmtId="10" fontId="26" fillId="7" borderId="9" xfId="5" applyNumberFormat="1" applyFont="1" applyFill="1" applyBorder="1" applyAlignment="1">
      <alignment horizontal="center" vertical="center" wrapText="1"/>
    </xf>
    <xf numFmtId="168" fontId="26" fillId="7" borderId="40" xfId="6" applyFont="1" applyFill="1" applyBorder="1" applyAlignment="1">
      <alignment horizontal="center" vertical="center" wrapText="1"/>
    </xf>
    <xf numFmtId="0" fontId="27" fillId="7" borderId="19" xfId="4" applyFont="1" applyFill="1" applyBorder="1" applyAlignment="1">
      <alignment horizontal="center" vertical="center" wrapText="1"/>
    </xf>
    <xf numFmtId="0" fontId="27" fillId="7" borderId="20" xfId="4" applyFont="1" applyFill="1" applyBorder="1" applyAlignment="1">
      <alignment horizontal="center" vertical="center" wrapText="1"/>
    </xf>
    <xf numFmtId="168" fontId="27" fillId="7" borderId="20" xfId="6" applyFont="1" applyFill="1" applyBorder="1" applyAlignment="1">
      <alignment horizontal="center" vertical="center" wrapText="1"/>
    </xf>
    <xf numFmtId="168" fontId="27" fillId="7" borderId="21" xfId="6" applyFont="1" applyFill="1" applyBorder="1" applyAlignment="1">
      <alignment horizontal="center" vertical="center" wrapText="1"/>
    </xf>
    <xf numFmtId="10" fontId="26" fillId="11" borderId="7" xfId="5" applyNumberFormat="1" applyFont="1" applyFill="1" applyBorder="1" applyAlignment="1">
      <alignment horizontal="center" vertical="center" wrapText="1"/>
    </xf>
    <xf numFmtId="10" fontId="26" fillId="11" borderId="9" xfId="5" applyNumberFormat="1" applyFont="1" applyFill="1" applyBorder="1" applyAlignment="1">
      <alignment horizontal="center" vertical="center" wrapText="1"/>
    </xf>
    <xf numFmtId="10" fontId="26" fillId="11" borderId="41" xfId="5" applyNumberFormat="1" applyFont="1" applyFill="1" applyBorder="1" applyAlignment="1">
      <alignment horizontal="center" vertical="center" wrapText="1"/>
    </xf>
    <xf numFmtId="168" fontId="26" fillId="11" borderId="40" xfId="6" applyFont="1" applyFill="1" applyBorder="1" applyAlignment="1">
      <alignment horizontal="center" vertical="center" wrapText="1"/>
    </xf>
    <xf numFmtId="10" fontId="26" fillId="11" borderId="40" xfId="5" applyNumberFormat="1" applyFont="1" applyFill="1" applyBorder="1" applyAlignment="1">
      <alignment horizontal="center" vertical="center" wrapText="1"/>
    </xf>
    <xf numFmtId="10" fontId="26" fillId="11" borderId="22" xfId="5" applyNumberFormat="1" applyFont="1" applyFill="1" applyBorder="1" applyAlignment="1">
      <alignment horizontal="center" vertical="center" wrapText="1"/>
    </xf>
    <xf numFmtId="0" fontId="24" fillId="0" borderId="0" xfId="3" applyFont="1"/>
    <xf numFmtId="0" fontId="26" fillId="0" borderId="0" xfId="3" applyNumberFormat="1" applyFont="1" applyFill="1" applyBorder="1" applyAlignment="1"/>
    <xf numFmtId="0" fontId="24" fillId="0" borderId="0" xfId="3" applyFont="1" applyBorder="1"/>
    <xf numFmtId="0" fontId="26" fillId="0" borderId="30" xfId="3" applyNumberFormat="1" applyFont="1" applyFill="1" applyBorder="1" applyAlignment="1">
      <alignment horizontal="left"/>
    </xf>
    <xf numFmtId="0" fontId="26" fillId="0" borderId="31" xfId="3" applyNumberFormat="1" applyFont="1" applyFill="1" applyBorder="1" applyAlignment="1"/>
    <xf numFmtId="0" fontId="26" fillId="0" borderId="31" xfId="3" applyNumberFormat="1" applyFont="1" applyFill="1" applyBorder="1" applyAlignment="1">
      <alignment horizontal="left"/>
    </xf>
    <xf numFmtId="0" fontId="26" fillId="0" borderId="31" xfId="3" applyNumberFormat="1" applyFont="1" applyFill="1" applyBorder="1" applyAlignment="1">
      <alignment horizontal="left" indent="1"/>
    </xf>
    <xf numFmtId="0" fontId="26" fillId="0" borderId="32" xfId="3" applyNumberFormat="1" applyFont="1" applyFill="1" applyBorder="1" applyAlignment="1">
      <alignment horizontal="left" indent="1"/>
    </xf>
    <xf numFmtId="0" fontId="26" fillId="0" borderId="32" xfId="3" applyNumberFormat="1" applyFont="1" applyFill="1" applyBorder="1" applyAlignment="1"/>
    <xf numFmtId="0" fontId="26" fillId="10" borderId="31" xfId="3" applyNumberFormat="1" applyFont="1" applyFill="1" applyBorder="1" applyAlignment="1"/>
    <xf numFmtId="10" fontId="26" fillId="7" borderId="0" xfId="5" applyNumberFormat="1" applyFont="1" applyFill="1"/>
    <xf numFmtId="0" fontId="27" fillId="7" borderId="0" xfId="4" applyFont="1" applyFill="1"/>
    <xf numFmtId="10" fontId="27" fillId="7" borderId="0" xfId="5" applyNumberFormat="1" applyFont="1" applyFill="1"/>
    <xf numFmtId="0" fontId="27" fillId="7" borderId="19" xfId="6" applyNumberFormat="1" applyFont="1" applyFill="1" applyBorder="1" applyAlignment="1">
      <alignment horizontal="center" vertical="center" wrapText="1"/>
    </xf>
    <xf numFmtId="0" fontId="27" fillId="7" borderId="20" xfId="6" applyNumberFormat="1" applyFont="1" applyFill="1" applyBorder="1" applyAlignment="1">
      <alignment horizontal="center" vertical="center" wrapText="1"/>
    </xf>
    <xf numFmtId="0" fontId="27" fillId="7" borderId="20" xfId="4" applyFont="1" applyFill="1" applyBorder="1" applyAlignment="1">
      <alignment vertical="center" wrapText="1"/>
    </xf>
    <xf numFmtId="10" fontId="27" fillId="7" borderId="20" xfId="4" applyNumberFormat="1" applyFont="1" applyFill="1" applyBorder="1" applyAlignment="1">
      <alignment horizontal="center" vertical="center" wrapText="1"/>
    </xf>
    <xf numFmtId="0" fontId="27" fillId="7" borderId="21" xfId="4" applyFont="1" applyFill="1" applyBorder="1" applyAlignment="1">
      <alignment horizontal="center" vertical="center" wrapText="1"/>
    </xf>
    <xf numFmtId="10" fontId="27" fillId="7" borderId="0" xfId="5" applyNumberFormat="1" applyFont="1" applyFill="1" applyBorder="1" applyAlignment="1">
      <alignment horizontal="center" vertical="center" textRotation="90" wrapText="1"/>
    </xf>
    <xf numFmtId="10" fontId="29" fillId="7" borderId="32" xfId="5" applyNumberFormat="1" applyFont="1" applyFill="1" applyBorder="1" applyAlignment="1">
      <alignment horizontal="center" vertical="center" wrapText="1"/>
    </xf>
    <xf numFmtId="0" fontId="24" fillId="7" borderId="8" xfId="6" applyNumberFormat="1" applyFont="1" applyFill="1" applyBorder="1" applyAlignment="1">
      <alignment horizontal="center" vertical="center" wrapText="1"/>
    </xf>
    <xf numFmtId="10" fontId="24" fillId="7" borderId="8" xfId="5" applyNumberFormat="1" applyFont="1" applyFill="1" applyBorder="1" applyAlignment="1">
      <alignment horizontal="center" vertical="center" wrapText="1"/>
    </xf>
    <xf numFmtId="0" fontId="21" fillId="7" borderId="41" xfId="6" applyNumberFormat="1" applyFont="1" applyFill="1" applyBorder="1" applyAlignment="1">
      <alignment horizontal="center" vertical="center" wrapText="1"/>
    </xf>
    <xf numFmtId="0" fontId="24" fillId="7" borderId="40" xfId="6" applyNumberFormat="1" applyFont="1" applyFill="1" applyBorder="1" applyAlignment="1">
      <alignment horizontal="center" vertical="center" wrapText="1"/>
    </xf>
    <xf numFmtId="10" fontId="24" fillId="7" borderId="40" xfId="5" applyNumberFormat="1" applyFont="1" applyFill="1" applyBorder="1" applyAlignment="1">
      <alignment horizontal="center" vertical="center" wrapText="1"/>
    </xf>
    <xf numFmtId="10" fontId="24" fillId="7" borderId="22" xfId="5" applyNumberFormat="1" applyFont="1" applyFill="1" applyBorder="1" applyAlignment="1">
      <alignment horizontal="center" vertical="center" wrapText="1"/>
    </xf>
    <xf numFmtId="0" fontId="21" fillId="7" borderId="46" xfId="6" applyNumberFormat="1" applyFont="1" applyFill="1" applyBorder="1" applyAlignment="1">
      <alignment horizontal="center" vertical="center" wrapText="1"/>
    </xf>
    <xf numFmtId="0" fontId="24" fillId="7" borderId="33" xfId="6" applyNumberFormat="1" applyFont="1" applyFill="1" applyBorder="1" applyAlignment="1">
      <alignment horizontal="center" vertical="center" wrapText="1"/>
    </xf>
    <xf numFmtId="10" fontId="24" fillId="7" borderId="33" xfId="5" applyNumberFormat="1" applyFont="1" applyFill="1" applyBorder="1" applyAlignment="1">
      <alignment horizontal="center" vertical="center" wrapText="1"/>
    </xf>
    <xf numFmtId="10" fontId="24" fillId="7" borderId="47" xfId="5" applyNumberFormat="1" applyFont="1" applyFill="1" applyBorder="1" applyAlignment="1">
      <alignment horizontal="center" vertical="center" wrapText="1"/>
    </xf>
    <xf numFmtId="0" fontId="20" fillId="7" borderId="0" xfId="4" applyFont="1" applyFill="1" applyAlignment="1">
      <alignment horizontal="center"/>
    </xf>
    <xf numFmtId="0" fontId="19" fillId="7" borderId="0" xfId="4" applyFill="1" applyAlignment="1">
      <alignment horizontal="center"/>
    </xf>
    <xf numFmtId="0" fontId="22" fillId="7" borderId="0" xfId="4" applyFont="1" applyFill="1" applyAlignment="1">
      <alignment horizontal="center"/>
    </xf>
    <xf numFmtId="0" fontId="18" fillId="7" borderId="34" xfId="4" applyFont="1" applyFill="1" applyBorder="1" applyAlignment="1">
      <alignment horizontal="center"/>
    </xf>
    <xf numFmtId="0" fontId="18" fillId="7" borderId="0" xfId="4" applyFont="1" applyFill="1" applyBorder="1" applyAlignment="1">
      <alignment horizontal="center"/>
    </xf>
    <xf numFmtId="0" fontId="19" fillId="7" borderId="0" xfId="4" applyFill="1" applyBorder="1" applyAlignment="1">
      <alignment horizontal="center"/>
    </xf>
    <xf numFmtId="0" fontId="23" fillId="7" borderId="12" xfId="6" applyNumberFormat="1" applyFont="1" applyFill="1" applyBorder="1" applyAlignment="1">
      <alignment horizontal="center" vertical="center" wrapText="1"/>
    </xf>
    <xf numFmtId="0" fontId="23" fillId="7" borderId="13" xfId="6" applyNumberFormat="1" applyFont="1" applyFill="1" applyBorder="1" applyAlignment="1">
      <alignment horizontal="center" vertical="center" wrapText="1"/>
    </xf>
    <xf numFmtId="10" fontId="23" fillId="7" borderId="13" xfId="4" applyNumberFormat="1" applyFont="1" applyFill="1" applyBorder="1" applyAlignment="1">
      <alignment horizontal="center" vertical="center" wrapText="1"/>
    </xf>
    <xf numFmtId="0" fontId="23" fillId="7" borderId="13" xfId="4" applyFont="1" applyFill="1" applyBorder="1" applyAlignment="1">
      <alignment horizontal="center" vertical="center" wrapText="1"/>
    </xf>
    <xf numFmtId="0" fontId="23" fillId="7" borderId="14" xfId="4" applyFont="1" applyFill="1" applyBorder="1" applyAlignment="1">
      <alignment horizontal="center" vertical="center" wrapText="1"/>
    </xf>
    <xf numFmtId="0" fontId="20" fillId="7" borderId="0" xfId="4" applyFont="1" applyFill="1" applyAlignment="1">
      <alignment horizontal="left"/>
    </xf>
    <xf numFmtId="0" fontId="21" fillId="7" borderId="0" xfId="4" applyFont="1" applyFill="1" applyBorder="1" applyAlignment="1">
      <alignment horizontal="left" vertical="center" wrapText="1"/>
    </xf>
    <xf numFmtId="0" fontId="27" fillId="10" borderId="8" xfId="3" applyNumberFormat="1" applyFont="1" applyFill="1" applyBorder="1" applyAlignment="1">
      <alignment horizontal="center"/>
    </xf>
    <xf numFmtId="40" fontId="27" fillId="10" borderId="8" xfId="3" applyNumberFormat="1" applyFont="1" applyFill="1" applyBorder="1" applyAlignment="1">
      <alignment horizontal="center"/>
    </xf>
    <xf numFmtId="169" fontId="26" fillId="10" borderId="8" xfId="7" applyNumberFormat="1" applyFont="1" applyFill="1" applyBorder="1" applyAlignment="1">
      <alignment horizontal="center"/>
    </xf>
    <xf numFmtId="169" fontId="26" fillId="0" borderId="8" xfId="7" applyNumberFormat="1" applyFont="1" applyFill="1" applyBorder="1" applyAlignment="1">
      <alignment horizontal="center"/>
    </xf>
    <xf numFmtId="169" fontId="26" fillId="0" borderId="8" xfId="3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7" fillId="10" borderId="11" xfId="3" applyNumberFormat="1" applyFont="1" applyFill="1" applyBorder="1" applyAlignment="1">
      <alignment horizontal="center"/>
    </xf>
    <xf numFmtId="0" fontId="27" fillId="10" borderId="33" xfId="3" applyNumberFormat="1" applyFont="1" applyFill="1" applyBorder="1" applyAlignment="1">
      <alignment horizontal="center"/>
    </xf>
    <xf numFmtId="0" fontId="18" fillId="7" borderId="49" xfId="4" applyFont="1" applyFill="1" applyBorder="1" applyAlignment="1">
      <alignment horizontal="center" vertical="center"/>
    </xf>
    <xf numFmtId="0" fontId="18" fillId="7" borderId="50" xfId="4" applyFont="1" applyFill="1" applyBorder="1" applyAlignment="1">
      <alignment horizontal="center" vertical="center"/>
    </xf>
    <xf numFmtId="0" fontId="18" fillId="7" borderId="36" xfId="4" applyFont="1" applyFill="1" applyBorder="1" applyAlignment="1">
      <alignment horizontal="left" vertical="center"/>
    </xf>
    <xf numFmtId="0" fontId="18" fillId="7" borderId="38" xfId="4" applyFont="1" applyFill="1" applyBorder="1" applyAlignment="1">
      <alignment horizontal="left" vertical="center"/>
    </xf>
    <xf numFmtId="0" fontId="26" fillId="7" borderId="7" xfId="4" applyFont="1" applyFill="1" applyBorder="1" applyAlignment="1">
      <alignment horizontal="left" vertical="center" wrapText="1"/>
    </xf>
    <xf numFmtId="0" fontId="26" fillId="7" borderId="41" xfId="4" applyFont="1" applyFill="1" applyBorder="1" applyAlignment="1">
      <alignment horizontal="left" vertical="center" wrapText="1"/>
    </xf>
    <xf numFmtId="0" fontId="4" fillId="2" borderId="0" xfId="2" applyNumberFormat="1" applyFont="1" applyFill="1" applyAlignment="1" applyProtection="1">
      <alignment horizontal="left"/>
    </xf>
    <xf numFmtId="0" fontId="3" fillId="2" borderId="0" xfId="2" applyNumberFormat="1" applyFont="1" applyFill="1" applyProtection="1"/>
    <xf numFmtId="164" fontId="3" fillId="2" borderId="0" xfId="2" applyNumberFormat="1" applyFont="1" applyFill="1" applyAlignment="1" applyProtection="1">
      <alignment horizontal="center"/>
    </xf>
    <xf numFmtId="0" fontId="3" fillId="0" borderId="0" xfId="2" applyNumberFormat="1" applyFont="1" applyProtection="1"/>
    <xf numFmtId="0" fontId="17" fillId="8" borderId="23" xfId="2" applyNumberFormat="1" applyFont="1" applyFill="1" applyBorder="1" applyAlignment="1" applyProtection="1">
      <alignment horizontal="left"/>
    </xf>
    <xf numFmtId="0" fontId="17" fillId="8" borderId="19" xfId="2" applyNumberFormat="1" applyFont="1" applyFill="1" applyBorder="1" applyAlignment="1" applyProtection="1"/>
    <xf numFmtId="0" fontId="3" fillId="7" borderId="20" xfId="2" applyNumberFormat="1" applyFont="1" applyFill="1" applyBorder="1" applyProtection="1"/>
    <xf numFmtId="9" fontId="17" fillId="8" borderId="21" xfId="2" applyNumberFormat="1" applyFont="1" applyFill="1" applyBorder="1" applyAlignment="1" applyProtection="1">
      <alignment horizontal="center"/>
      <protection locked="0"/>
    </xf>
    <xf numFmtId="0" fontId="3" fillId="8" borderId="0" xfId="2" applyNumberFormat="1" applyFont="1" applyFill="1" applyProtection="1">
      <protection locked="0"/>
    </xf>
    <xf numFmtId="0" fontId="2" fillId="0" borderId="0" xfId="2" applyNumberFormat="1" applyFont="1"/>
    <xf numFmtId="0" fontId="2" fillId="0" borderId="0" xfId="2" applyNumberFormat="1" applyFont="1" applyProtection="1"/>
    <xf numFmtId="4" fontId="3" fillId="0" borderId="9" xfId="2" applyNumberFormat="1" applyFont="1" applyBorder="1" applyAlignment="1" applyProtection="1">
      <alignment horizontal="center" vertical="center" wrapText="1"/>
    </xf>
    <xf numFmtId="0" fontId="3" fillId="0" borderId="0" xfId="2" applyNumberFormat="1" applyFont="1" applyAlignment="1" applyProtection="1">
      <alignment horizontal="center" vertical="center" wrapText="1"/>
    </xf>
    <xf numFmtId="164" fontId="11" fillId="5" borderId="8" xfId="2" applyNumberFormat="1" applyFont="1" applyFill="1" applyBorder="1" applyAlignment="1">
      <alignment horizontal="center"/>
    </xf>
    <xf numFmtId="0" fontId="11" fillId="5" borderId="8" xfId="2" applyNumberFormat="1" applyFont="1" applyFill="1" applyBorder="1" applyAlignment="1">
      <alignment horizontal="center"/>
    </xf>
    <xf numFmtId="0" fontId="9" fillId="5" borderId="8" xfId="2" applyNumberFormat="1" applyFont="1" applyFill="1" applyBorder="1" applyAlignment="1">
      <alignment horizontal="center"/>
    </xf>
    <xf numFmtId="0" fontId="3" fillId="5" borderId="8" xfId="2" applyNumberFormat="1" applyFont="1" applyFill="1" applyBorder="1" applyAlignment="1">
      <alignment horizontal="center"/>
    </xf>
    <xf numFmtId="166" fontId="14" fillId="0" borderId="8" xfId="2" applyNumberFormat="1" applyFont="1" applyBorder="1" applyAlignment="1">
      <alignment horizontal="center"/>
    </xf>
    <xf numFmtId="3" fontId="14" fillId="0" borderId="7" xfId="2" applyNumberFormat="1" applyFont="1" applyBorder="1" applyAlignment="1" applyProtection="1">
      <alignment horizontal="center"/>
      <protection hidden="1"/>
    </xf>
    <xf numFmtId="0" fontId="14" fillId="0" borderId="8" xfId="2" applyNumberFormat="1" applyFont="1" applyBorder="1" applyAlignment="1" applyProtection="1">
      <alignment horizontal="center"/>
      <protection hidden="1"/>
    </xf>
    <xf numFmtId="3" fontId="14" fillId="0" borderId="10" xfId="2" applyNumberFormat="1" applyFont="1" applyBorder="1" applyAlignment="1" applyProtection="1">
      <alignment horizontal="center"/>
      <protection hidden="1"/>
    </xf>
    <xf numFmtId="0" fontId="14" fillId="0" borderId="11" xfId="2" applyNumberFormat="1" applyFont="1" applyBorder="1" applyAlignment="1" applyProtection="1">
      <alignment horizontal="center"/>
      <protection hidden="1"/>
    </xf>
    <xf numFmtId="1" fontId="15" fillId="5" borderId="12" xfId="2" applyNumberFormat="1" applyFont="1" applyFill="1" applyBorder="1" applyAlignment="1" applyProtection="1">
      <alignment horizontal="left"/>
      <protection hidden="1"/>
    </xf>
    <xf numFmtId="0" fontId="11" fillId="5" borderId="13" xfId="2" applyNumberFormat="1" applyFont="1" applyFill="1" applyBorder="1" applyProtection="1">
      <protection hidden="1"/>
    </xf>
    <xf numFmtId="0" fontId="16" fillId="5" borderId="13" xfId="0" applyFont="1" applyFill="1" applyBorder="1"/>
    <xf numFmtId="164" fontId="16" fillId="5" borderId="13" xfId="0" applyNumberFormat="1" applyFont="1" applyFill="1" applyBorder="1"/>
    <xf numFmtId="4" fontId="3" fillId="0" borderId="13" xfId="2" applyNumberFormat="1" applyFont="1" applyBorder="1" applyAlignment="1">
      <alignment horizontal="center"/>
    </xf>
    <xf numFmtId="167" fontId="11" fillId="5" borderId="13" xfId="1" applyNumberFormat="1" applyFont="1" applyFill="1" applyBorder="1" applyAlignment="1" applyProtection="1">
      <alignment horizontal="center"/>
    </xf>
    <xf numFmtId="0" fontId="8" fillId="5" borderId="13" xfId="0" applyFont="1" applyFill="1" applyBorder="1"/>
    <xf numFmtId="0" fontId="16" fillId="5" borderId="14" xfId="0" applyFont="1" applyFill="1" applyBorder="1"/>
    <xf numFmtId="0" fontId="3" fillId="0" borderId="0" xfId="2" applyNumberFormat="1" applyFont="1"/>
    <xf numFmtId="1" fontId="15" fillId="5" borderId="15" xfId="2" applyNumberFormat="1" applyFont="1" applyFill="1" applyBorder="1" applyAlignment="1" applyProtection="1">
      <alignment horizontal="left"/>
      <protection hidden="1"/>
    </xf>
    <xf numFmtId="0" fontId="11" fillId="5" borderId="16" xfId="2" applyNumberFormat="1" applyFont="1" applyFill="1" applyBorder="1" applyProtection="1">
      <protection hidden="1"/>
    </xf>
    <xf numFmtId="0" fontId="16" fillId="5" borderId="16" xfId="0" applyFont="1" applyFill="1" applyBorder="1"/>
    <xf numFmtId="164" fontId="16" fillId="5" borderId="16" xfId="0" applyNumberFormat="1" applyFont="1" applyFill="1" applyBorder="1"/>
    <xf numFmtId="4" fontId="3" fillId="0" borderId="16" xfId="2" applyNumberFormat="1" applyFont="1" applyBorder="1" applyAlignment="1">
      <alignment horizontal="center"/>
    </xf>
    <xf numFmtId="0" fontId="8" fillId="5" borderId="16" xfId="0" applyFont="1" applyFill="1" applyBorder="1"/>
    <xf numFmtId="0" fontId="16" fillId="5" borderId="17" xfId="0" applyFont="1" applyFill="1" applyBorder="1"/>
    <xf numFmtId="0" fontId="2" fillId="0" borderId="1" xfId="2" applyNumberFormat="1" applyFont="1" applyBorder="1"/>
    <xf numFmtId="0" fontId="2" fillId="0" borderId="0" xfId="2" applyNumberFormat="1" applyFont="1" applyBorder="1"/>
    <xf numFmtId="0" fontId="2" fillId="0" borderId="0" xfId="2" applyNumberFormat="1" applyFont="1" applyBorder="1" applyAlignment="1">
      <alignment horizontal="center"/>
    </xf>
    <xf numFmtId="0" fontId="3" fillId="0" borderId="0" xfId="2" applyNumberFormat="1" applyFont="1" applyBorder="1"/>
    <xf numFmtId="0" fontId="2" fillId="0" borderId="2" xfId="2" applyNumberFormat="1" applyFont="1" applyBorder="1"/>
    <xf numFmtId="14" fontId="26" fillId="7" borderId="37" xfId="4" applyNumberFormat="1" applyFont="1" applyFill="1" applyBorder="1" applyAlignment="1">
      <alignment horizontal="center" vertical="center" wrapText="1"/>
    </xf>
    <xf numFmtId="14" fontId="26" fillId="7" borderId="39" xfId="4" applyNumberFormat="1" applyFont="1" applyFill="1" applyBorder="1" applyAlignment="1">
      <alignment horizontal="center" vertical="center" wrapText="1"/>
    </xf>
    <xf numFmtId="4" fontId="26" fillId="7" borderId="0" xfId="4" applyNumberFormat="1" applyFont="1" applyFill="1" applyBorder="1" applyAlignment="1">
      <alignment horizontal="center" vertical="center" wrapText="1"/>
    </xf>
    <xf numFmtId="166" fontId="14" fillId="0" borderId="52" xfId="2" applyNumberFormat="1" applyFont="1" applyBorder="1" applyAlignment="1">
      <alignment horizontal="center"/>
    </xf>
    <xf numFmtId="0" fontId="11" fillId="5" borderId="10" xfId="2" applyNumberFormat="1" applyFont="1" applyFill="1" applyBorder="1"/>
    <xf numFmtId="0" fontId="11" fillId="5" borderId="11" xfId="2" applyNumberFormat="1" applyFont="1" applyFill="1" applyBorder="1"/>
    <xf numFmtId="3" fontId="14" fillId="0" borderId="46" xfId="2" applyNumberFormat="1" applyFont="1" applyBorder="1" applyAlignment="1" applyProtection="1">
      <alignment horizontal="center"/>
      <protection hidden="1"/>
    </xf>
    <xf numFmtId="0" fontId="14" fillId="0" borderId="33" xfId="2" applyNumberFormat="1" applyFont="1" applyBorder="1" applyAlignment="1" applyProtection="1">
      <alignment horizontal="center"/>
      <protection hidden="1"/>
    </xf>
    <xf numFmtId="14" fontId="18" fillId="7" borderId="36" xfId="4" applyNumberFormat="1" applyFont="1" applyFill="1" applyBorder="1" applyAlignment="1">
      <alignment horizontal="center"/>
    </xf>
    <xf numFmtId="14" fontId="18" fillId="7" borderId="38" xfId="4" applyNumberFormat="1" applyFont="1" applyFill="1" applyBorder="1" applyAlignment="1">
      <alignment horizontal="center"/>
    </xf>
    <xf numFmtId="4" fontId="13" fillId="6" borderId="8" xfId="2" applyNumberFormat="1" applyFont="1" applyFill="1" applyBorder="1" applyAlignment="1" applyProtection="1">
      <alignment horizontal="center"/>
      <protection locked="0"/>
    </xf>
    <xf numFmtId="4" fontId="14" fillId="0" borderId="8" xfId="2" applyNumberFormat="1" applyFont="1" applyBorder="1" applyAlignment="1" applyProtection="1">
      <alignment horizontal="center"/>
    </xf>
    <xf numFmtId="4" fontId="14" fillId="4" borderId="8" xfId="2" applyNumberFormat="1" applyFont="1" applyFill="1" applyBorder="1" applyAlignment="1" applyProtection="1">
      <alignment horizontal="center"/>
    </xf>
    <xf numFmtId="4" fontId="14" fillId="0" borderId="8" xfId="2" applyNumberFormat="1" applyFont="1" applyBorder="1" applyAlignment="1">
      <alignment horizontal="center"/>
    </xf>
    <xf numFmtId="4" fontId="14" fillId="0" borderId="9" xfId="2" applyNumberFormat="1" applyFont="1" applyBorder="1" applyAlignment="1">
      <alignment horizontal="center"/>
    </xf>
    <xf numFmtId="10" fontId="26" fillId="7" borderId="22" xfId="5" applyNumberFormat="1" applyFont="1" applyFill="1" applyBorder="1" applyAlignment="1">
      <alignment horizontal="center" vertical="center" wrapText="1"/>
    </xf>
    <xf numFmtId="0" fontId="26" fillId="0" borderId="7" xfId="6" applyNumberFormat="1" applyFont="1" applyFill="1" applyBorder="1" applyAlignment="1">
      <alignment horizontal="center" vertical="center" wrapText="1"/>
    </xf>
    <xf numFmtId="0" fontId="26" fillId="0" borderId="8" xfId="6" applyNumberFormat="1" applyFont="1" applyFill="1" applyBorder="1" applyAlignment="1">
      <alignment horizontal="center" vertical="center" wrapText="1"/>
    </xf>
    <xf numFmtId="168" fontId="26" fillId="0" borderId="8" xfId="6" applyFont="1" applyFill="1" applyBorder="1" applyAlignment="1">
      <alignment horizontal="center" vertical="center" wrapText="1"/>
    </xf>
    <xf numFmtId="168" fontId="26" fillId="0" borderId="8" xfId="4" applyNumberFormat="1" applyFont="1" applyFill="1" applyBorder="1" applyAlignment="1">
      <alignment horizontal="center" vertical="center" wrapText="1"/>
    </xf>
    <xf numFmtId="168" fontId="26" fillId="0" borderId="9" xfId="4" applyNumberFormat="1" applyFont="1" applyFill="1" applyBorder="1" applyAlignment="1">
      <alignment horizontal="center" vertical="center" wrapText="1"/>
    </xf>
    <xf numFmtId="0" fontId="26" fillId="0" borderId="41" xfId="6" applyNumberFormat="1" applyFont="1" applyFill="1" applyBorder="1" applyAlignment="1">
      <alignment horizontal="center" vertical="center" wrapText="1"/>
    </xf>
    <xf numFmtId="0" fontId="26" fillId="0" borderId="40" xfId="6" applyNumberFormat="1" applyFont="1" applyFill="1" applyBorder="1" applyAlignment="1">
      <alignment horizontal="center" vertical="center" wrapText="1"/>
    </xf>
    <xf numFmtId="40" fontId="27" fillId="0" borderId="8" xfId="3" applyNumberFormat="1" applyFont="1" applyFill="1" applyBorder="1" applyAlignment="1"/>
    <xf numFmtId="40" fontId="27" fillId="0" borderId="11" xfId="3" applyNumberFormat="1" applyFont="1" applyFill="1" applyBorder="1" applyAlignment="1"/>
    <xf numFmtId="40" fontId="27" fillId="0" borderId="33" xfId="3" applyNumberFormat="1" applyFont="1" applyFill="1" applyBorder="1" applyAlignment="1"/>
    <xf numFmtId="0" fontId="17" fillId="9" borderId="24" xfId="2" applyNumberFormat="1" applyFont="1" applyFill="1" applyBorder="1" applyAlignment="1" applyProtection="1">
      <alignment horizontal="left"/>
    </xf>
    <xf numFmtId="0" fontId="17" fillId="9" borderId="25" xfId="2" applyNumberFormat="1" applyFont="1" applyFill="1" applyBorder="1" applyAlignment="1" applyProtection="1">
      <alignment horizontal="left"/>
    </xf>
    <xf numFmtId="0" fontId="17" fillId="9" borderId="26" xfId="2" applyNumberFormat="1" applyFont="1" applyFill="1" applyBorder="1" applyAlignment="1" applyProtection="1">
      <alignment horizontal="left"/>
    </xf>
    <xf numFmtId="0" fontId="27" fillId="10" borderId="27" xfId="3" applyNumberFormat="1" applyFont="1" applyFill="1" applyBorder="1" applyAlignment="1">
      <alignment horizontal="center" vertical="center"/>
    </xf>
    <xf numFmtId="0" fontId="27" fillId="10" borderId="28" xfId="3" applyNumberFormat="1" applyFont="1" applyFill="1" applyBorder="1" applyAlignment="1">
      <alignment horizontal="center" vertical="center"/>
    </xf>
    <xf numFmtId="0" fontId="27" fillId="10" borderId="0" xfId="3" applyNumberFormat="1" applyFont="1" applyFill="1" applyBorder="1" applyAlignment="1">
      <alignment horizontal="center" vertical="center"/>
    </xf>
    <xf numFmtId="0" fontId="27" fillId="10" borderId="29" xfId="3" applyNumberFormat="1" applyFont="1" applyFill="1" applyBorder="1" applyAlignment="1">
      <alignment horizontal="center" vertical="center"/>
    </xf>
    <xf numFmtId="0" fontId="27" fillId="10" borderId="31" xfId="3" applyNumberFormat="1" applyFont="1" applyFill="1" applyBorder="1" applyAlignment="1">
      <alignment horizontal="center"/>
    </xf>
    <xf numFmtId="0" fontId="26" fillId="0" borderId="31" xfId="3" applyNumberFormat="1" applyFont="1" applyFill="1" applyBorder="1" applyAlignment="1"/>
    <xf numFmtId="17" fontId="32" fillId="0" borderId="0" xfId="0" applyNumberFormat="1" applyFont="1" applyAlignment="1">
      <alignment horizontal="center" vertical="center" wrapText="1"/>
    </xf>
    <xf numFmtId="0" fontId="29" fillId="7" borderId="32" xfId="4" applyFont="1" applyFill="1" applyBorder="1" applyAlignment="1">
      <alignment horizontal="left" vertical="center" wrapText="1"/>
    </xf>
    <xf numFmtId="0" fontId="18" fillId="7" borderId="34" xfId="4" applyFont="1" applyFill="1" applyBorder="1" applyAlignment="1">
      <alignment horizontal="left" vertical="center" wrapText="1"/>
    </xf>
    <xf numFmtId="0" fontId="18" fillId="7" borderId="48" xfId="4" applyFont="1" applyFill="1" applyBorder="1" applyAlignment="1">
      <alignment horizontal="left" vertical="center" wrapText="1"/>
    </xf>
    <xf numFmtId="0" fontId="22" fillId="7" borderId="18" xfId="4" applyFont="1" applyFill="1" applyBorder="1" applyAlignment="1">
      <alignment horizontal="left" vertical="center"/>
    </xf>
    <xf numFmtId="0" fontId="22" fillId="7" borderId="51" xfId="4" applyFont="1" applyFill="1" applyBorder="1" applyAlignment="1">
      <alignment horizontal="left" vertical="center"/>
    </xf>
    <xf numFmtId="40" fontId="35" fillId="12" borderId="8" xfId="3" applyNumberFormat="1" applyFont="1" applyFill="1" applyBorder="1" applyAlignment="1" applyProtection="1">
      <protection locked="0"/>
    </xf>
    <xf numFmtId="40" fontId="35" fillId="12" borderId="33" xfId="3" applyNumberFormat="1" applyFont="1" applyFill="1" applyBorder="1" applyAlignment="1" applyProtection="1">
      <protection locked="0"/>
    </xf>
    <xf numFmtId="40" fontId="35" fillId="12" borderId="8" xfId="3" applyNumberFormat="1" applyFont="1" applyFill="1" applyBorder="1" applyAlignment="1" applyProtection="1">
      <alignment horizontal="center"/>
      <protection locked="0"/>
    </xf>
    <xf numFmtId="0" fontId="26" fillId="7" borderId="44" xfId="4" applyFont="1" applyFill="1" applyBorder="1" applyAlignment="1">
      <alignment horizontal="center" vertical="center" wrapText="1"/>
    </xf>
    <xf numFmtId="4" fontId="34" fillId="11" borderId="30" xfId="4" applyNumberFormat="1" applyFont="1" applyFill="1" applyBorder="1" applyAlignment="1">
      <alignment horizontal="center" vertical="center" wrapText="1"/>
    </xf>
    <xf numFmtId="168" fontId="26" fillId="7" borderId="30" xfId="6" applyFont="1" applyFill="1" applyBorder="1" applyAlignment="1">
      <alignment horizontal="center" vertical="center" wrapText="1"/>
    </xf>
    <xf numFmtId="4" fontId="26" fillId="11" borderId="30" xfId="4" applyNumberFormat="1" applyFont="1" applyFill="1" applyBorder="1" applyAlignment="1">
      <alignment horizontal="center" vertical="center" wrapText="1"/>
    </xf>
    <xf numFmtId="4" fontId="35" fillId="12" borderId="8" xfId="4" applyNumberFormat="1" applyFont="1" applyFill="1" applyBorder="1" applyAlignment="1" applyProtection="1">
      <alignment horizontal="center" vertical="center" wrapText="1"/>
      <protection locked="0"/>
    </xf>
    <xf numFmtId="0" fontId="26" fillId="7" borderId="53" xfId="4" applyFont="1" applyFill="1" applyBorder="1" applyAlignment="1">
      <alignment horizontal="center" vertical="center" wrapText="1"/>
    </xf>
    <xf numFmtId="4" fontId="35" fillId="12" borderId="54" xfId="4" applyNumberFormat="1" applyFont="1" applyFill="1" applyBorder="1" applyAlignment="1" applyProtection="1">
      <alignment horizontal="center" vertical="center" wrapText="1"/>
      <protection locked="0"/>
    </xf>
    <xf numFmtId="4" fontId="26" fillId="11" borderId="54" xfId="4" applyNumberFormat="1" applyFont="1" applyFill="1" applyBorder="1" applyAlignment="1">
      <alignment horizontal="center" vertical="center" wrapText="1"/>
    </xf>
    <xf numFmtId="4" fontId="26" fillId="11" borderId="55" xfId="4" applyNumberFormat="1" applyFont="1" applyFill="1" applyBorder="1" applyAlignment="1">
      <alignment horizontal="center" vertical="center" wrapText="1"/>
    </xf>
    <xf numFmtId="4" fontId="35" fillId="12" borderId="40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2" xfId="3"/>
    <cellStyle name="Normal 3" xfId="4"/>
    <cellStyle name="Porcentagem" xfId="7" builtinId="5"/>
    <cellStyle name="Porcentagem 2" xfId="5"/>
    <cellStyle name="TableStyleLight1" xfId="2"/>
    <cellStyle name="Vírgula" xfId="1" builtinId="3"/>
    <cellStyle name="Vírgul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MK161"/>
  <sheetViews>
    <sheetView tabSelected="1" zoomScale="55" zoomScaleNormal="55" workbookViewId="0">
      <selection activeCell="G10" sqref="G10"/>
    </sheetView>
  </sheetViews>
  <sheetFormatPr defaultColWidth="0" defaultRowHeight="15.75"/>
  <cols>
    <col min="1" max="1" width="9.140625" style="185" customWidth="1"/>
    <col min="2" max="3" width="9.140625" style="186" customWidth="1"/>
    <col min="4" max="4" width="12.28515625" style="187" customWidth="1"/>
    <col min="5" max="64" width="31.5703125" style="186" customWidth="1"/>
    <col min="65" max="65" width="31.5703125" style="188" customWidth="1"/>
    <col min="66" max="66" width="31.5703125" style="186" customWidth="1"/>
    <col min="67" max="67" width="31.5703125" style="189" customWidth="1"/>
    <col min="68" max="68" width="20.7109375" style="42" customWidth="1"/>
    <col min="69" max="69" width="21.85546875" style="42" customWidth="1"/>
    <col min="70" max="70" width="9.140625" style="156" customWidth="1"/>
    <col min="71" max="1025" width="9.140625" style="156" hidden="1" customWidth="1"/>
    <col min="1026" max="16384" width="9.140625" hidden="1"/>
  </cols>
  <sheetData>
    <row r="1" spans="1:1024" s="150" customFormat="1" ht="25.5">
      <c r="A1" s="147" t="s">
        <v>133</v>
      </c>
      <c r="B1" s="148"/>
      <c r="C1" s="148"/>
      <c r="D1" s="149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</row>
    <row r="2" spans="1:1024" s="37" customFormat="1" ht="25.5">
      <c r="A2" s="34"/>
      <c r="B2" s="35"/>
      <c r="C2" s="35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</row>
    <row r="3" spans="1:1024" s="37" customFormat="1" ht="20.25" hidden="1">
      <c r="A3" s="151" t="s">
        <v>82</v>
      </c>
      <c r="B3" s="152"/>
      <c r="C3" s="153"/>
      <c r="D3" s="153"/>
      <c r="E3" s="154">
        <v>0.06</v>
      </c>
      <c r="F3" s="35"/>
      <c r="G3" s="35"/>
      <c r="H3" s="35"/>
      <c r="I3" s="35"/>
      <c r="J3" s="35"/>
      <c r="K3" s="35"/>
      <c r="L3" s="35"/>
      <c r="M3" s="3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35"/>
      <c r="BK3" s="35"/>
      <c r="BL3" s="35"/>
      <c r="BM3" s="35"/>
      <c r="BN3" s="35"/>
      <c r="BO3" s="35"/>
      <c r="BP3" s="35"/>
      <c r="BQ3" s="35"/>
    </row>
    <row r="4" spans="1:1024" s="37" customFormat="1" ht="21" thickBot="1">
      <c r="A4" s="216" t="s">
        <v>78</v>
      </c>
      <c r="B4" s="217"/>
      <c r="C4" s="217"/>
      <c r="D4" s="218"/>
      <c r="E4" s="38">
        <f>IFERROR(BQ160/BP160,"")</f>
        <v>12.743514807808562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</row>
    <row r="5" spans="1:1024" s="37" customFormat="1" ht="26.25" thickBot="1">
      <c r="A5" s="34"/>
      <c r="B5" s="35"/>
      <c r="C5" s="35"/>
      <c r="D5" s="3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24">
      <c r="A6" s="1" t="s">
        <v>0</v>
      </c>
      <c r="B6" s="2"/>
      <c r="C6" s="2"/>
      <c r="D6" s="3"/>
      <c r="E6" s="4"/>
      <c r="F6" s="5" t="s">
        <v>1</v>
      </c>
      <c r="G6" s="6"/>
      <c r="H6" s="6"/>
      <c r="I6" s="6"/>
      <c r="J6" s="6"/>
      <c r="K6" s="7"/>
      <c r="L6" s="8"/>
      <c r="M6" s="5" t="s">
        <v>2</v>
      </c>
      <c r="N6" s="2"/>
      <c r="O6" s="2"/>
      <c r="P6" s="2"/>
      <c r="Q6" s="2"/>
      <c r="R6" s="2"/>
      <c r="S6" s="2"/>
      <c r="T6" s="4"/>
      <c r="U6" s="5" t="s">
        <v>3</v>
      </c>
      <c r="V6" s="2"/>
      <c r="W6" s="2"/>
      <c r="X6" s="2"/>
      <c r="Y6" s="2"/>
      <c r="Z6" s="2"/>
      <c r="AA6" s="2"/>
      <c r="AB6" s="4"/>
      <c r="AC6" s="5" t="s">
        <v>4</v>
      </c>
      <c r="AD6" s="2"/>
      <c r="AE6" s="2"/>
      <c r="AF6" s="2"/>
      <c r="AG6" s="4"/>
      <c r="AH6" s="5" t="s">
        <v>5</v>
      </c>
      <c r="AI6" s="2"/>
      <c r="AJ6" s="2"/>
      <c r="AK6" s="2"/>
      <c r="AL6" s="2"/>
      <c r="AM6" s="4"/>
      <c r="AN6" s="1" t="s">
        <v>6</v>
      </c>
      <c r="AO6" s="2"/>
      <c r="AP6" s="2"/>
      <c r="AQ6" s="4"/>
      <c r="AR6" s="9" t="s">
        <v>7</v>
      </c>
      <c r="AS6" s="1" t="s">
        <v>8</v>
      </c>
      <c r="AT6" s="2"/>
      <c r="AU6" s="2"/>
      <c r="AV6" s="2"/>
      <c r="AW6" s="2"/>
      <c r="AX6" s="2"/>
      <c r="AY6" s="4"/>
      <c r="AZ6" s="1" t="s">
        <v>9</v>
      </c>
      <c r="BA6" s="10"/>
      <c r="BB6" s="10"/>
      <c r="BC6" s="10"/>
      <c r="BD6" s="10"/>
      <c r="BE6" s="10"/>
      <c r="BF6" s="10"/>
      <c r="BG6" s="10"/>
      <c r="BH6" s="10"/>
      <c r="BI6" s="11"/>
      <c r="BJ6" s="12" t="s">
        <v>7</v>
      </c>
      <c r="BK6" s="1" t="s">
        <v>10</v>
      </c>
      <c r="BL6" s="13"/>
      <c r="BM6" s="14"/>
      <c r="BN6" s="13"/>
      <c r="BO6" s="15"/>
      <c r="BP6" s="12" t="s">
        <v>81</v>
      </c>
      <c r="BQ6" s="12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157" customFormat="1">
      <c r="A7" s="16">
        <v>100101</v>
      </c>
      <c r="B7" s="31">
        <v>100201</v>
      </c>
      <c r="C7" s="17">
        <v>100301</v>
      </c>
      <c r="D7" s="21">
        <v>100401</v>
      </c>
      <c r="E7" s="17">
        <v>109001</v>
      </c>
      <c r="F7" s="21">
        <v>111000</v>
      </c>
      <c r="G7" s="17">
        <v>111101</v>
      </c>
      <c r="H7" s="17">
        <v>111201</v>
      </c>
      <c r="I7" s="17">
        <v>111301</v>
      </c>
      <c r="J7" s="17">
        <v>111401</v>
      </c>
      <c r="K7" s="17">
        <v>112000</v>
      </c>
      <c r="L7" s="17">
        <v>119900</v>
      </c>
      <c r="M7" s="21">
        <v>121000</v>
      </c>
      <c r="N7" s="17">
        <v>121100</v>
      </c>
      <c r="O7" s="17">
        <v>121200</v>
      </c>
      <c r="P7" s="17">
        <v>121300</v>
      </c>
      <c r="Q7" s="17">
        <v>121400</v>
      </c>
      <c r="R7" s="17">
        <v>121500</v>
      </c>
      <c r="S7" s="17">
        <v>121600</v>
      </c>
      <c r="T7" s="17">
        <v>121700</v>
      </c>
      <c r="U7" s="21">
        <v>122000</v>
      </c>
      <c r="V7" s="17">
        <v>122100</v>
      </c>
      <c r="W7" s="17">
        <v>122200</v>
      </c>
      <c r="X7" s="17">
        <v>122300</v>
      </c>
      <c r="Y7" s="17">
        <v>122400</v>
      </c>
      <c r="Z7" s="17">
        <v>122500</v>
      </c>
      <c r="AA7" s="17">
        <v>122600</v>
      </c>
      <c r="AB7" s="17">
        <v>122700</v>
      </c>
      <c r="AC7" s="21">
        <v>123000</v>
      </c>
      <c r="AD7" s="17">
        <v>123100</v>
      </c>
      <c r="AE7" s="17">
        <v>123200</v>
      </c>
      <c r="AF7" s="17">
        <v>123300</v>
      </c>
      <c r="AG7" s="17">
        <v>123400</v>
      </c>
      <c r="AH7" s="21">
        <v>124000</v>
      </c>
      <c r="AI7" s="17">
        <v>124100</v>
      </c>
      <c r="AJ7" s="17">
        <v>124200</v>
      </c>
      <c r="AK7" s="17">
        <v>124300</v>
      </c>
      <c r="AL7" s="17">
        <v>124400</v>
      </c>
      <c r="AM7" s="17">
        <v>124500</v>
      </c>
      <c r="AN7" s="18">
        <v>129000</v>
      </c>
      <c r="AO7" s="18">
        <v>130101</v>
      </c>
      <c r="AP7" s="17">
        <v>130201</v>
      </c>
      <c r="AQ7" s="17">
        <v>139901</v>
      </c>
      <c r="AR7" s="21">
        <v>190000</v>
      </c>
      <c r="AS7" s="21">
        <v>210000</v>
      </c>
      <c r="AT7" s="17">
        <v>211001</v>
      </c>
      <c r="AU7" s="17">
        <v>212001</v>
      </c>
      <c r="AV7" s="17">
        <v>213001</v>
      </c>
      <c r="AW7" s="17">
        <v>214001</v>
      </c>
      <c r="AX7" s="17">
        <v>215001</v>
      </c>
      <c r="AY7" s="17">
        <v>219901</v>
      </c>
      <c r="AZ7" s="21">
        <v>220000</v>
      </c>
      <c r="BA7" s="18">
        <v>221000</v>
      </c>
      <c r="BB7" s="18">
        <v>222000</v>
      </c>
      <c r="BC7" s="18">
        <v>223000</v>
      </c>
      <c r="BD7" s="18">
        <v>224000</v>
      </c>
      <c r="BE7" s="18">
        <v>225000</v>
      </c>
      <c r="BF7" s="18">
        <v>226000</v>
      </c>
      <c r="BG7" s="18">
        <v>227000</v>
      </c>
      <c r="BH7" s="18">
        <v>229000</v>
      </c>
      <c r="BI7" s="18">
        <v>239901</v>
      </c>
      <c r="BJ7" s="19">
        <v>240000</v>
      </c>
      <c r="BK7" s="19">
        <v>250001</v>
      </c>
      <c r="BL7" s="19">
        <v>260001</v>
      </c>
      <c r="BM7" s="20">
        <v>270001</v>
      </c>
      <c r="BN7" s="21">
        <v>280001</v>
      </c>
      <c r="BO7" s="21">
        <v>290001</v>
      </c>
      <c r="BP7" s="19">
        <v>310000</v>
      </c>
      <c r="BQ7" s="19">
        <v>320000</v>
      </c>
    </row>
    <row r="8" spans="1:1024" s="159" customFormat="1" ht="165" customHeight="1">
      <c r="A8" s="22" t="s">
        <v>11</v>
      </c>
      <c r="B8" s="32" t="s">
        <v>12</v>
      </c>
      <c r="C8" s="25" t="s">
        <v>13</v>
      </c>
      <c r="D8" s="23" t="s">
        <v>14</v>
      </c>
      <c r="E8" s="25" t="s">
        <v>15</v>
      </c>
      <c r="F8" s="26" t="s">
        <v>16</v>
      </c>
      <c r="G8" s="24" t="s">
        <v>17</v>
      </c>
      <c r="H8" s="24" t="s">
        <v>18</v>
      </c>
      <c r="I8" s="24" t="s">
        <v>19</v>
      </c>
      <c r="J8" s="24" t="s">
        <v>20</v>
      </c>
      <c r="K8" s="25" t="s">
        <v>21</v>
      </c>
      <c r="L8" s="24" t="s">
        <v>22</v>
      </c>
      <c r="M8" s="26" t="s">
        <v>23</v>
      </c>
      <c r="N8" s="24" t="s">
        <v>24</v>
      </c>
      <c r="O8" s="24" t="s">
        <v>25</v>
      </c>
      <c r="P8" s="24" t="s">
        <v>26</v>
      </c>
      <c r="Q8" s="24" t="s">
        <v>27</v>
      </c>
      <c r="R8" s="24" t="s">
        <v>28</v>
      </c>
      <c r="S8" s="24" t="s">
        <v>29</v>
      </c>
      <c r="T8" s="24" t="s">
        <v>30</v>
      </c>
      <c r="U8" s="26" t="s">
        <v>31</v>
      </c>
      <c r="V8" s="24" t="s">
        <v>32</v>
      </c>
      <c r="W8" s="24" t="s">
        <v>33</v>
      </c>
      <c r="X8" s="24" t="s">
        <v>34</v>
      </c>
      <c r="Y8" s="24" t="s">
        <v>35</v>
      </c>
      <c r="Z8" s="24" t="s">
        <v>36</v>
      </c>
      <c r="AA8" s="24" t="s">
        <v>37</v>
      </c>
      <c r="AB8" s="24" t="s">
        <v>38</v>
      </c>
      <c r="AC8" s="26" t="s">
        <v>39</v>
      </c>
      <c r="AD8" s="24" t="s">
        <v>40</v>
      </c>
      <c r="AE8" s="24" t="s">
        <v>41</v>
      </c>
      <c r="AF8" s="24" t="s">
        <v>42</v>
      </c>
      <c r="AG8" s="24" t="s">
        <v>43</v>
      </c>
      <c r="AH8" s="26" t="s">
        <v>44</v>
      </c>
      <c r="AI8" s="24" t="s">
        <v>45</v>
      </c>
      <c r="AJ8" s="24" t="s">
        <v>46</v>
      </c>
      <c r="AK8" s="24" t="s">
        <v>47</v>
      </c>
      <c r="AL8" s="24" t="s">
        <v>48</v>
      </c>
      <c r="AM8" s="24" t="s">
        <v>49</v>
      </c>
      <c r="AN8" s="25" t="s">
        <v>50</v>
      </c>
      <c r="AO8" s="24" t="s">
        <v>51</v>
      </c>
      <c r="AP8" s="24" t="s">
        <v>52</v>
      </c>
      <c r="AQ8" s="24" t="s">
        <v>53</v>
      </c>
      <c r="AR8" s="26" t="s">
        <v>54</v>
      </c>
      <c r="AS8" s="26" t="s">
        <v>55</v>
      </c>
      <c r="AT8" s="24" t="s">
        <v>56</v>
      </c>
      <c r="AU8" s="24" t="s">
        <v>57</v>
      </c>
      <c r="AV8" s="24" t="s">
        <v>58</v>
      </c>
      <c r="AW8" s="24" t="s">
        <v>59</v>
      </c>
      <c r="AX8" s="24" t="s">
        <v>60</v>
      </c>
      <c r="AY8" s="24" t="s">
        <v>61</v>
      </c>
      <c r="AZ8" s="26" t="s">
        <v>62</v>
      </c>
      <c r="BA8" s="25" t="s">
        <v>63</v>
      </c>
      <c r="BB8" s="25" t="s">
        <v>64</v>
      </c>
      <c r="BC8" s="25" t="s">
        <v>65</v>
      </c>
      <c r="BD8" s="25" t="s">
        <v>66</v>
      </c>
      <c r="BE8" s="25" t="s">
        <v>67</v>
      </c>
      <c r="BF8" s="25" t="s">
        <v>68</v>
      </c>
      <c r="BG8" s="25" t="s">
        <v>69</v>
      </c>
      <c r="BH8" s="25" t="s">
        <v>70</v>
      </c>
      <c r="BI8" s="24" t="s">
        <v>71</v>
      </c>
      <c r="BJ8" s="26" t="s">
        <v>72</v>
      </c>
      <c r="BK8" s="26" t="s">
        <v>73</v>
      </c>
      <c r="BL8" s="27" t="s">
        <v>74</v>
      </c>
      <c r="BM8" s="26" t="s">
        <v>75</v>
      </c>
      <c r="BN8" s="26" t="s">
        <v>134</v>
      </c>
      <c r="BO8" s="158" t="s">
        <v>135</v>
      </c>
      <c r="BP8" s="26" t="s">
        <v>79</v>
      </c>
      <c r="BQ8" s="26" t="s">
        <v>80</v>
      </c>
    </row>
    <row r="9" spans="1:1024">
      <c r="A9" s="194"/>
      <c r="B9" s="195"/>
      <c r="C9" s="195"/>
      <c r="D9" s="160"/>
      <c r="E9" s="161"/>
      <c r="F9" s="161"/>
      <c r="G9" s="161"/>
      <c r="H9" s="161"/>
      <c r="I9" s="161"/>
      <c r="J9" s="161"/>
      <c r="K9" s="162"/>
      <c r="L9" s="162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2"/>
      <c r="AO9" s="162"/>
      <c r="AP9" s="162"/>
      <c r="AQ9" s="162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3"/>
      <c r="BN9" s="161"/>
      <c r="BO9" s="28">
        <v>1942526796.8700001</v>
      </c>
      <c r="BP9" s="39"/>
      <c r="BQ9" s="3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33">
        <v>1</v>
      </c>
      <c r="B10" s="33">
        <v>2020</v>
      </c>
      <c r="C10" s="29">
        <v>5.85</v>
      </c>
      <c r="D10" s="193">
        <f>ROUND(IF(A10=0,1,(1+C10/100)^-1),5)</f>
        <v>0.94472999999999996</v>
      </c>
      <c r="E10" s="200">
        <v>1695584329.03</v>
      </c>
      <c r="F10" s="203">
        <f t="shared" ref="F10:F41" si="0">ROUND(SUM(G10:J10),5)</f>
        <v>36130343.718220003</v>
      </c>
      <c r="G10" s="200">
        <v>36130343.718215995</v>
      </c>
      <c r="H10" s="200">
        <v>0</v>
      </c>
      <c r="I10" s="200">
        <v>0</v>
      </c>
      <c r="J10" s="200">
        <v>0</v>
      </c>
      <c r="K10" s="200">
        <v>3368478.3116160003</v>
      </c>
      <c r="L10" s="200">
        <v>64115160.162645563</v>
      </c>
      <c r="M10" s="203">
        <f t="shared" ref="M10:M73" si="1">ROUND(SUM(N10:T10),5)</f>
        <v>422989460.63770002</v>
      </c>
      <c r="N10" s="200">
        <v>422989460.63769996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00">
        <v>0</v>
      </c>
      <c r="U10" s="203">
        <f t="shared" ref="U10:U73" si="2">ROUND(SUM(V10:AB10),5)</f>
        <v>217817371.49847001</v>
      </c>
      <c r="V10" s="200">
        <v>217817371.49846923</v>
      </c>
      <c r="W10" s="200">
        <v>0</v>
      </c>
      <c r="X10" s="200">
        <v>0</v>
      </c>
      <c r="Y10" s="200">
        <v>0</v>
      </c>
      <c r="Z10" s="200">
        <v>0</v>
      </c>
      <c r="AA10" s="200">
        <v>0</v>
      </c>
      <c r="AB10" s="200">
        <v>0</v>
      </c>
      <c r="AC10" s="203">
        <f t="shared" ref="AC10:AC73" si="3">ROUND(SUM(AD10:AG10),5)</f>
        <v>5102445.3200200005</v>
      </c>
      <c r="AD10" s="200">
        <v>4478216.2690319996</v>
      </c>
      <c r="AE10" s="200">
        <v>548822.00551199995</v>
      </c>
      <c r="AF10" s="200">
        <v>0</v>
      </c>
      <c r="AG10" s="200">
        <v>75407.045471999998</v>
      </c>
      <c r="AH10" s="203">
        <f t="shared" ref="AH10:AH73" si="4">ROUND(SUM(AI10:AM10),5)</f>
        <v>100223.78256000001</v>
      </c>
      <c r="AI10" s="200">
        <v>24045.651167999997</v>
      </c>
      <c r="AJ10" s="200">
        <v>0</v>
      </c>
      <c r="AK10" s="200">
        <v>0</v>
      </c>
      <c r="AL10" s="200">
        <v>255.64809600000004</v>
      </c>
      <c r="AM10" s="200">
        <v>75922.483296000006</v>
      </c>
      <c r="AN10" s="200">
        <v>12616172.165035201</v>
      </c>
      <c r="AO10" s="200">
        <v>351245695.81</v>
      </c>
      <c r="AP10" s="200">
        <v>33535069.811250005</v>
      </c>
      <c r="AQ10" s="200">
        <v>0</v>
      </c>
      <c r="AR10" s="203">
        <f t="shared" ref="AR10:AR73" si="5">ROUND(F10+K10+L10+M10+U10+AC10+AH10+AN10+AO10+AP10+AQ10,5)</f>
        <v>1147020421.21752</v>
      </c>
      <c r="AS10" s="203">
        <f t="shared" ref="AS10:AS73" si="6">ROUND(SUM(AT10:AY10),5)</f>
        <v>1202050526.33899</v>
      </c>
      <c r="AT10" s="200">
        <v>1088427129.6816721</v>
      </c>
      <c r="AU10" s="200">
        <v>0</v>
      </c>
      <c r="AV10" s="200">
        <v>0</v>
      </c>
      <c r="AW10" s="200">
        <v>0</v>
      </c>
      <c r="AX10" s="200">
        <v>113623396.65732001</v>
      </c>
      <c r="AY10" s="200">
        <v>0</v>
      </c>
      <c r="AZ10" s="203">
        <f t="shared" ref="AZ10:AZ73" si="7">ROUND(SUM(BA10:BI10),5)</f>
        <v>163046756.59373999</v>
      </c>
      <c r="BA10" s="200">
        <v>100985278.15992001</v>
      </c>
      <c r="BB10" s="200">
        <v>17986666.936392002</v>
      </c>
      <c r="BC10" s="200">
        <v>0</v>
      </c>
      <c r="BD10" s="200">
        <v>2931625.2796720001</v>
      </c>
      <c r="BE10" s="200">
        <v>3523226.5746880001</v>
      </c>
      <c r="BF10" s="200">
        <v>734924.69967999996</v>
      </c>
      <c r="BG10" s="200">
        <v>36885034.943383999</v>
      </c>
      <c r="BH10" s="200">
        <v>0</v>
      </c>
      <c r="BI10" s="200">
        <v>0</v>
      </c>
      <c r="BJ10" s="203">
        <f t="shared" ref="BJ10:BJ73" si="8">ROUND(AS10+AZ10,5)</f>
        <v>1365097282.93273</v>
      </c>
      <c r="BK10" s="203">
        <f t="shared" ref="BK10:BK73" si="9">ROUND(AR10-BJ10,5)</f>
        <v>-218076861.71520999</v>
      </c>
      <c r="BL10" s="203">
        <f>$BO$9+SUMPRODUCT($D$10:D10,$BK$10:BK10)</f>
        <v>1736503043.3017898</v>
      </c>
      <c r="BM10" s="202">
        <f t="shared" ref="BM10:BM73" si="10">ROUND(C10,5)</f>
        <v>5.85</v>
      </c>
      <c r="BN10" s="203">
        <f>IF($A$10=0,IF(BO9+BK10&lt;0,0,ROUND(BM10/100*(BO9+BK10),5)),ROUND(BM10/100*BO9,5))</f>
        <v>113637817.6169</v>
      </c>
      <c r="BO10" s="204">
        <f t="shared" ref="BO10:BO73" si="11">IF(BO9+BK10+BN10&gt;0,ROUND(BO9+BK10+BN10,5),0)</f>
        <v>1838087752.7716899</v>
      </c>
      <c r="BP10" s="201">
        <f>(1/((1+$C10/100)^($A10-0.5)))*(AS10+AZ10-AY10-BH10-F10-AC10-AH10)</f>
        <v>1286664218.5746784</v>
      </c>
      <c r="BQ10" s="201">
        <f>$BP10*($A10-0.5)</f>
        <v>643332109.28733921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A11" s="196">
        <f t="shared" ref="A11:B26" si="12">A10+1</f>
        <v>2</v>
      </c>
      <c r="B11" s="197">
        <f t="shared" si="12"/>
        <v>2021</v>
      </c>
      <c r="C11" s="29">
        <v>5.85</v>
      </c>
      <c r="D11" s="164">
        <f>ROUND((1+C11/100)^-1*D10,5)</f>
        <v>0.89251999999999998</v>
      </c>
      <c r="E11" s="200">
        <v>1655079145.23</v>
      </c>
      <c r="F11" s="203">
        <f t="shared" si="0"/>
        <v>35292469.635459997</v>
      </c>
      <c r="G11" s="200">
        <v>35292469.635456003</v>
      </c>
      <c r="H11" s="200">
        <v>0</v>
      </c>
      <c r="I11" s="200">
        <v>0</v>
      </c>
      <c r="J11" s="200">
        <v>0</v>
      </c>
      <c r="K11" s="200">
        <v>3492499.6088399999</v>
      </c>
      <c r="L11" s="200">
        <v>60889919.978003897</v>
      </c>
      <c r="M11" s="203">
        <f t="shared" si="1"/>
        <v>429408618.9831</v>
      </c>
      <c r="N11" s="200">
        <v>429408618.9831</v>
      </c>
      <c r="O11" s="200">
        <v>0</v>
      </c>
      <c r="P11" s="200">
        <v>0</v>
      </c>
      <c r="Q11" s="200">
        <v>0</v>
      </c>
      <c r="R11" s="200">
        <v>0</v>
      </c>
      <c r="S11" s="200">
        <v>0</v>
      </c>
      <c r="T11" s="200">
        <v>0</v>
      </c>
      <c r="U11" s="203">
        <f t="shared" si="2"/>
        <v>231711080.33219999</v>
      </c>
      <c r="V11" s="200">
        <v>231711080.33220002</v>
      </c>
      <c r="W11" s="200">
        <v>0</v>
      </c>
      <c r="X11" s="200">
        <v>0</v>
      </c>
      <c r="Y11" s="200">
        <v>0</v>
      </c>
      <c r="Z11" s="200">
        <v>0</v>
      </c>
      <c r="AA11" s="200">
        <v>0</v>
      </c>
      <c r="AB11" s="200">
        <v>0</v>
      </c>
      <c r="AC11" s="203">
        <f t="shared" si="3"/>
        <v>6742178.49835</v>
      </c>
      <c r="AD11" s="200">
        <v>5830337.3296080008</v>
      </c>
      <c r="AE11" s="200">
        <v>761329.36809599993</v>
      </c>
      <c r="AF11" s="200">
        <v>0</v>
      </c>
      <c r="AG11" s="200">
        <v>150511.80064799997</v>
      </c>
      <c r="AH11" s="203">
        <f t="shared" si="4"/>
        <v>207605.59458999999</v>
      </c>
      <c r="AI11" s="200">
        <v>54974.35284</v>
      </c>
      <c r="AJ11" s="200">
        <v>0</v>
      </c>
      <c r="AK11" s="200">
        <v>0</v>
      </c>
      <c r="AL11" s="200">
        <v>809.53276800000003</v>
      </c>
      <c r="AM11" s="200">
        <v>151821.708984</v>
      </c>
      <c r="AN11" s="200">
        <v>17210066.642223205</v>
      </c>
      <c r="AO11" s="200">
        <v>383665673.54000002</v>
      </c>
      <c r="AP11" s="200">
        <v>35547173.999925002</v>
      </c>
      <c r="AQ11" s="200">
        <v>0</v>
      </c>
      <c r="AR11" s="203">
        <f t="shared" si="5"/>
        <v>1204167286.81269</v>
      </c>
      <c r="AS11" s="203">
        <f t="shared" si="6"/>
        <v>1185337246.34899</v>
      </c>
      <c r="AT11" s="200">
        <v>1075914362.3751602</v>
      </c>
      <c r="AU11" s="200">
        <v>0</v>
      </c>
      <c r="AV11" s="200">
        <v>0</v>
      </c>
      <c r="AW11" s="200">
        <v>0</v>
      </c>
      <c r="AX11" s="200">
        <v>109422883.973832</v>
      </c>
      <c r="AY11" s="200">
        <v>0</v>
      </c>
      <c r="AZ11" s="203">
        <f t="shared" si="7"/>
        <v>172100666.42223001</v>
      </c>
      <c r="BA11" s="200">
        <v>131107700.41353601</v>
      </c>
      <c r="BB11" s="200">
        <v>26287062.494352002</v>
      </c>
      <c r="BC11" s="200">
        <v>0</v>
      </c>
      <c r="BD11" s="200">
        <v>5894790.6552399993</v>
      </c>
      <c r="BE11" s="200">
        <v>7113403.1582240006</v>
      </c>
      <c r="BF11" s="200">
        <v>1697709.7008800001</v>
      </c>
      <c r="BG11" s="200">
        <v>0</v>
      </c>
      <c r="BH11" s="200">
        <v>0</v>
      </c>
      <c r="BI11" s="200">
        <v>0</v>
      </c>
      <c r="BJ11" s="203">
        <f t="shared" si="8"/>
        <v>1357437912.77122</v>
      </c>
      <c r="BK11" s="203">
        <f t="shared" si="9"/>
        <v>-153270625.95853001</v>
      </c>
      <c r="BL11" s="203">
        <f>$BO$9+SUMPRODUCT($D$10:D11,$BK$10:BK11)</f>
        <v>1599705944.2212825</v>
      </c>
      <c r="BM11" s="202">
        <f t="shared" si="10"/>
        <v>5.85</v>
      </c>
      <c r="BN11" s="203">
        <f t="shared" ref="BN11:BN74" si="13">IF($A$10=0,IF(BO10+BK11&lt;0,0,ROUND(BM11/100*(BO10+BK11),5)),ROUND(BM11/100*BO10,5))</f>
        <v>107528133.53714</v>
      </c>
      <c r="BO11" s="204">
        <f t="shared" si="11"/>
        <v>1792345260.3503001</v>
      </c>
      <c r="BP11" s="201">
        <f t="shared" ref="BP11:BP74" si="14">(1/((1+$C11/100)^($A11-0.5)))*(AS11+AZ11-AY11-BH11-F11-AC11-AH11)</f>
        <v>1207686115.1768737</v>
      </c>
      <c r="BQ11" s="201">
        <f t="shared" ref="BQ11:BQ74" si="15">$BP11*($A11-0.5)</f>
        <v>1811529172.7653105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>
      <c r="A12" s="165">
        <f t="shared" si="12"/>
        <v>3</v>
      </c>
      <c r="B12" s="166">
        <f t="shared" si="12"/>
        <v>2022</v>
      </c>
      <c r="C12" s="29">
        <v>5.85</v>
      </c>
      <c r="D12" s="164">
        <f t="shared" ref="D12:D75" si="16">ROUND((1+C12/100)^-1*D11,5)</f>
        <v>0.84319</v>
      </c>
      <c r="E12" s="200">
        <v>1599067452.1199999</v>
      </c>
      <c r="F12" s="203">
        <f t="shared" si="0"/>
        <v>34426351.019280002</v>
      </c>
      <c r="G12" s="200">
        <v>34426351.019280002</v>
      </c>
      <c r="H12" s="200">
        <v>0</v>
      </c>
      <c r="I12" s="200">
        <v>0</v>
      </c>
      <c r="J12" s="200">
        <v>0</v>
      </c>
      <c r="K12" s="200">
        <v>3605577.1905120006</v>
      </c>
      <c r="L12" s="200">
        <v>57687315.348401882</v>
      </c>
      <c r="M12" s="203">
        <f t="shared" si="1"/>
        <v>430831082.73869997</v>
      </c>
      <c r="N12" s="200">
        <v>430831082.73870003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v>0</v>
      </c>
      <c r="U12" s="203">
        <f t="shared" si="2"/>
        <v>223869443.29679999</v>
      </c>
      <c r="V12" s="200">
        <v>223869443.29680002</v>
      </c>
      <c r="W12" s="200">
        <v>0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3">
        <f t="shared" si="3"/>
        <v>8632700.1243099999</v>
      </c>
      <c r="AD12" s="200">
        <v>7412667.5958719999</v>
      </c>
      <c r="AE12" s="200">
        <v>996340.91330400005</v>
      </c>
      <c r="AF12" s="200">
        <v>0</v>
      </c>
      <c r="AG12" s="200">
        <v>223691.61513599998</v>
      </c>
      <c r="AH12" s="203">
        <f t="shared" si="4"/>
        <v>321268.83623999998</v>
      </c>
      <c r="AI12" s="200">
        <v>93712.873319999999</v>
      </c>
      <c r="AJ12" s="200">
        <v>0</v>
      </c>
      <c r="AK12" s="200">
        <v>0</v>
      </c>
      <c r="AL12" s="200">
        <v>1700.5306560000001</v>
      </c>
      <c r="AM12" s="200">
        <v>225855.432264</v>
      </c>
      <c r="AN12" s="200">
        <v>22950828.319960803</v>
      </c>
      <c r="AO12" s="200">
        <v>431432049.88999999</v>
      </c>
      <c r="AP12" s="200">
        <v>37680004.439920507</v>
      </c>
      <c r="AQ12" s="200">
        <v>0</v>
      </c>
      <c r="AR12" s="203">
        <f t="shared" si="5"/>
        <v>1251436621.2041299</v>
      </c>
      <c r="AS12" s="203">
        <f t="shared" si="6"/>
        <v>1167332379.6359301</v>
      </c>
      <c r="AT12" s="200">
        <v>1062159052.8679681</v>
      </c>
      <c r="AU12" s="200">
        <v>0</v>
      </c>
      <c r="AV12" s="200">
        <v>0</v>
      </c>
      <c r="AW12" s="200">
        <v>0</v>
      </c>
      <c r="AX12" s="200">
        <v>105173326.76796</v>
      </c>
      <c r="AY12" s="200">
        <v>0</v>
      </c>
      <c r="AZ12" s="203">
        <f t="shared" si="7"/>
        <v>229508283.19960999</v>
      </c>
      <c r="BA12" s="200">
        <v>170263711.94368801</v>
      </c>
      <c r="BB12" s="200">
        <v>36804565.979280002</v>
      </c>
      <c r="BC12" s="200">
        <v>0</v>
      </c>
      <c r="BD12" s="200">
        <v>8818586.0935520008</v>
      </c>
      <c r="BE12" s="200">
        <v>10676238.568032</v>
      </c>
      <c r="BF12" s="200">
        <v>2945180.6150560002</v>
      </c>
      <c r="BG12" s="200">
        <v>0</v>
      </c>
      <c r="BH12" s="200">
        <v>0</v>
      </c>
      <c r="BI12" s="200">
        <v>0</v>
      </c>
      <c r="BJ12" s="203">
        <f t="shared" si="8"/>
        <v>1396840662.8355401</v>
      </c>
      <c r="BK12" s="203">
        <f t="shared" si="9"/>
        <v>-145404041.63141</v>
      </c>
      <c r="BL12" s="203">
        <f>$BO$9+SUMPRODUCT($D$10:D12,$BK$10:BK12)</f>
        <v>1477102710.358094</v>
      </c>
      <c r="BM12" s="202">
        <f t="shared" si="10"/>
        <v>5.85</v>
      </c>
      <c r="BN12" s="203">
        <f t="shared" si="13"/>
        <v>104852197.73049</v>
      </c>
      <c r="BO12" s="204">
        <f t="shared" si="11"/>
        <v>1751793416.4493799</v>
      </c>
      <c r="BP12" s="201">
        <f t="shared" si="14"/>
        <v>1174135933.0663903</v>
      </c>
      <c r="BQ12" s="201">
        <f t="shared" si="15"/>
        <v>2935339832.6659756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165">
        <f t="shared" si="12"/>
        <v>4</v>
      </c>
      <c r="B13" s="166">
        <f t="shared" si="12"/>
        <v>2023</v>
      </c>
      <c r="C13" s="29">
        <v>5.85</v>
      </c>
      <c r="D13" s="164">
        <f t="shared" si="16"/>
        <v>0.79659000000000002</v>
      </c>
      <c r="E13" s="200">
        <v>1530947259.1799998</v>
      </c>
      <c r="F13" s="203">
        <f t="shared" si="0"/>
        <v>33532245.617899999</v>
      </c>
      <c r="G13" s="200">
        <v>33532245.617904</v>
      </c>
      <c r="H13" s="200">
        <v>0</v>
      </c>
      <c r="I13" s="200">
        <v>0</v>
      </c>
      <c r="J13" s="200">
        <v>0</v>
      </c>
      <c r="K13" s="200">
        <v>3700391.337456</v>
      </c>
      <c r="L13" s="200">
        <v>54514052.938807942</v>
      </c>
      <c r="M13" s="203">
        <f t="shared" si="1"/>
        <v>427743126.07020003</v>
      </c>
      <c r="N13" s="200">
        <v>427743126.07019997</v>
      </c>
      <c r="O13" s="200">
        <v>0</v>
      </c>
      <c r="P13" s="200">
        <v>0</v>
      </c>
      <c r="Q13" s="200">
        <v>0</v>
      </c>
      <c r="R13" s="200">
        <v>0</v>
      </c>
      <c r="S13" s="200">
        <v>0</v>
      </c>
      <c r="T13" s="200">
        <v>0</v>
      </c>
      <c r="U13" s="203">
        <f t="shared" si="2"/>
        <v>214332616.2852</v>
      </c>
      <c r="V13" s="200">
        <v>214332616.2852</v>
      </c>
      <c r="W13" s="200">
        <v>0</v>
      </c>
      <c r="X13" s="200">
        <v>0</v>
      </c>
      <c r="Y13" s="200">
        <v>0</v>
      </c>
      <c r="Z13" s="200">
        <v>0</v>
      </c>
      <c r="AA13" s="200">
        <v>0</v>
      </c>
      <c r="AB13" s="200">
        <v>0</v>
      </c>
      <c r="AC13" s="203">
        <f t="shared" si="3"/>
        <v>10783673.397019999</v>
      </c>
      <c r="AD13" s="200">
        <v>9199858.3556880001</v>
      </c>
      <c r="AE13" s="200">
        <v>1290633.8839680001</v>
      </c>
      <c r="AF13" s="200">
        <v>0</v>
      </c>
      <c r="AG13" s="200">
        <v>293181.15736800001</v>
      </c>
      <c r="AH13" s="203">
        <f t="shared" si="4"/>
        <v>439948.04356999998</v>
      </c>
      <c r="AI13" s="200">
        <v>141233.050464</v>
      </c>
      <c r="AJ13" s="200">
        <v>0</v>
      </c>
      <c r="AK13" s="200">
        <v>0</v>
      </c>
      <c r="AL13" s="200">
        <v>2960.4268319999996</v>
      </c>
      <c r="AM13" s="200">
        <v>295754.56627199997</v>
      </c>
      <c r="AN13" s="200">
        <v>29719951.497690398</v>
      </c>
      <c r="AO13" s="200">
        <v>500418034.67000002</v>
      </c>
      <c r="AP13" s="200">
        <v>39940804.706315741</v>
      </c>
      <c r="AQ13" s="200">
        <v>0</v>
      </c>
      <c r="AR13" s="203">
        <f t="shared" si="5"/>
        <v>1315124844.5641601</v>
      </c>
      <c r="AS13" s="203">
        <f t="shared" si="6"/>
        <v>1147837373.48016</v>
      </c>
      <c r="AT13" s="200">
        <v>1046885983.139832</v>
      </c>
      <c r="AU13" s="200">
        <v>0</v>
      </c>
      <c r="AV13" s="200">
        <v>0</v>
      </c>
      <c r="AW13" s="200">
        <v>0</v>
      </c>
      <c r="AX13" s="200">
        <v>100951390.34032799</v>
      </c>
      <c r="AY13" s="200">
        <v>0</v>
      </c>
      <c r="AZ13" s="203">
        <f t="shared" si="7"/>
        <v>297199514.97689998</v>
      </c>
      <c r="BA13" s="200">
        <v>216090303.60667199</v>
      </c>
      <c r="BB13" s="200">
        <v>50784262.915320002</v>
      </c>
      <c r="BC13" s="200">
        <v>0</v>
      </c>
      <c r="BD13" s="200">
        <v>11664332.29624</v>
      </c>
      <c r="BE13" s="200">
        <v>14141617.501416</v>
      </c>
      <c r="BF13" s="200">
        <v>4518998.6572560007</v>
      </c>
      <c r="BG13" s="200">
        <v>0</v>
      </c>
      <c r="BH13" s="200">
        <v>0</v>
      </c>
      <c r="BI13" s="200">
        <v>0</v>
      </c>
      <c r="BJ13" s="203">
        <f t="shared" si="8"/>
        <v>1445036888.4570601</v>
      </c>
      <c r="BK13" s="203">
        <f t="shared" si="9"/>
        <v>-129912043.8929</v>
      </c>
      <c r="BL13" s="203">
        <f>$BO$9+SUMPRODUCT($D$10:D13,$BK$10:BK13)</f>
        <v>1373616075.3134489</v>
      </c>
      <c r="BM13" s="202">
        <f t="shared" si="10"/>
        <v>5.85</v>
      </c>
      <c r="BN13" s="203">
        <f t="shared" si="13"/>
        <v>102479914.86228999</v>
      </c>
      <c r="BO13" s="204">
        <f t="shared" si="11"/>
        <v>1724361287.4187701</v>
      </c>
      <c r="BP13" s="201">
        <f t="shared" si="14"/>
        <v>1147617558.8140628</v>
      </c>
      <c r="BQ13" s="201">
        <f t="shared" si="15"/>
        <v>4016661455.8492198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165">
        <f t="shared" si="12"/>
        <v>5</v>
      </c>
      <c r="B14" s="166">
        <f t="shared" si="12"/>
        <v>2024</v>
      </c>
      <c r="C14" s="29">
        <v>5.85</v>
      </c>
      <c r="D14" s="164">
        <f t="shared" si="16"/>
        <v>0.75256000000000001</v>
      </c>
      <c r="E14" s="200">
        <v>1453327355.3999999</v>
      </c>
      <c r="F14" s="203">
        <f t="shared" si="0"/>
        <v>32610712.795850001</v>
      </c>
      <c r="G14" s="200">
        <v>32610712.795848001</v>
      </c>
      <c r="H14" s="200">
        <v>0</v>
      </c>
      <c r="I14" s="200">
        <v>0</v>
      </c>
      <c r="J14" s="200">
        <v>0</v>
      </c>
      <c r="K14" s="200">
        <v>3772701.5557440002</v>
      </c>
      <c r="L14" s="200">
        <v>51376704.481097586</v>
      </c>
      <c r="M14" s="203">
        <f t="shared" si="1"/>
        <v>406004798.06580001</v>
      </c>
      <c r="N14" s="200">
        <v>406004798.06580001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3">
        <f t="shared" si="2"/>
        <v>203465829.75600001</v>
      </c>
      <c r="V14" s="200">
        <v>203465829.75600001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3">
        <f t="shared" si="3"/>
        <v>13197213.91877</v>
      </c>
      <c r="AD14" s="200">
        <v>11350215.355512001</v>
      </c>
      <c r="AE14" s="200">
        <v>1491483.9395280001</v>
      </c>
      <c r="AF14" s="200">
        <v>0</v>
      </c>
      <c r="AG14" s="200">
        <v>355514.62372800004</v>
      </c>
      <c r="AH14" s="203">
        <f t="shared" si="4"/>
        <v>562754.01599999995</v>
      </c>
      <c r="AI14" s="200">
        <v>199619.01405600001</v>
      </c>
      <c r="AJ14" s="200">
        <v>0</v>
      </c>
      <c r="AK14" s="200">
        <v>0</v>
      </c>
      <c r="AL14" s="200">
        <v>4613.9734080000007</v>
      </c>
      <c r="AM14" s="200">
        <v>358521.028536</v>
      </c>
      <c r="AN14" s="200">
        <v>37165653.001044802</v>
      </c>
      <c r="AO14" s="200">
        <v>577132119.38999999</v>
      </c>
      <c r="AP14" s="200">
        <v>42337252.98869469</v>
      </c>
      <c r="AQ14" s="200">
        <v>0</v>
      </c>
      <c r="AR14" s="203">
        <f t="shared" si="5"/>
        <v>1367625739.9690001</v>
      </c>
      <c r="AS14" s="203">
        <f t="shared" si="6"/>
        <v>1126495782.5531499</v>
      </c>
      <c r="AT14" s="200">
        <v>1029908596.9524001</v>
      </c>
      <c r="AU14" s="200">
        <v>0</v>
      </c>
      <c r="AV14" s="200">
        <v>0</v>
      </c>
      <c r="AW14" s="200">
        <v>0</v>
      </c>
      <c r="AX14" s="200">
        <v>96587185.600751996</v>
      </c>
      <c r="AY14" s="200">
        <v>0</v>
      </c>
      <c r="AZ14" s="203">
        <f t="shared" si="7"/>
        <v>371656530.01045001</v>
      </c>
      <c r="BA14" s="200">
        <v>269089446.87609601</v>
      </c>
      <c r="BB14" s="200">
        <v>64333573.146215998</v>
      </c>
      <c r="BC14" s="200">
        <v>0</v>
      </c>
      <c r="BD14" s="200">
        <v>14352364.7258</v>
      </c>
      <c r="BE14" s="200">
        <v>17405921.807256002</v>
      </c>
      <c r="BF14" s="200">
        <v>6475223.4550799998</v>
      </c>
      <c r="BG14" s="200">
        <v>0</v>
      </c>
      <c r="BH14" s="200">
        <v>0</v>
      </c>
      <c r="BI14" s="200">
        <v>0</v>
      </c>
      <c r="BJ14" s="203">
        <f t="shared" si="8"/>
        <v>1498152312.5636001</v>
      </c>
      <c r="BK14" s="203">
        <f t="shared" si="9"/>
        <v>-130526572.59460001</v>
      </c>
      <c r="BL14" s="203">
        <f>$BO$9+SUMPRODUCT($D$10:D14,$BK$10:BK14)</f>
        <v>1275386997.8416567</v>
      </c>
      <c r="BM14" s="202">
        <f t="shared" si="10"/>
        <v>5.85</v>
      </c>
      <c r="BN14" s="203">
        <f t="shared" si="13"/>
        <v>100875135.314</v>
      </c>
      <c r="BO14" s="204">
        <f t="shared" si="11"/>
        <v>1694709850.13817</v>
      </c>
      <c r="BP14" s="201">
        <f t="shared" si="14"/>
        <v>1124067565.843858</v>
      </c>
      <c r="BQ14" s="201">
        <f t="shared" si="15"/>
        <v>5058304046.2973614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165">
        <f t="shared" si="12"/>
        <v>6</v>
      </c>
      <c r="B15" s="166">
        <f t="shared" si="12"/>
        <v>2025</v>
      </c>
      <c r="C15" s="29">
        <v>5.85</v>
      </c>
      <c r="D15" s="164">
        <f t="shared" si="16"/>
        <v>0.71096999999999999</v>
      </c>
      <c r="E15" s="200">
        <v>1367779804.46</v>
      </c>
      <c r="F15" s="203">
        <f t="shared" si="0"/>
        <v>31662410.349769998</v>
      </c>
      <c r="G15" s="200">
        <v>31662410.349768002</v>
      </c>
      <c r="H15" s="200">
        <v>0</v>
      </c>
      <c r="I15" s="200">
        <v>0</v>
      </c>
      <c r="J15" s="200">
        <v>0</v>
      </c>
      <c r="K15" s="200">
        <v>3820871.3146560001</v>
      </c>
      <c r="L15" s="200">
        <v>48282824.2765496</v>
      </c>
      <c r="M15" s="203">
        <f t="shared" si="1"/>
        <v>382046981.50129998</v>
      </c>
      <c r="N15" s="200">
        <v>382046981.50130004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00">
        <v>0</v>
      </c>
      <c r="U15" s="203">
        <f t="shared" si="2"/>
        <v>191489172.62439999</v>
      </c>
      <c r="V15" s="200">
        <v>191489172.62440002</v>
      </c>
      <c r="W15" s="200">
        <v>0</v>
      </c>
      <c r="X15" s="200">
        <v>0</v>
      </c>
      <c r="Y15" s="200">
        <v>0</v>
      </c>
      <c r="Z15" s="200">
        <v>0</v>
      </c>
      <c r="AA15" s="200">
        <v>0</v>
      </c>
      <c r="AB15" s="200">
        <v>0</v>
      </c>
      <c r="AC15" s="203">
        <f t="shared" si="3"/>
        <v>15749354.702400001</v>
      </c>
      <c r="AD15" s="200">
        <v>13477711.513728</v>
      </c>
      <c r="AE15" s="200">
        <v>1860919.4382239999</v>
      </c>
      <c r="AF15" s="200">
        <v>0</v>
      </c>
      <c r="AG15" s="200">
        <v>410723.75044799998</v>
      </c>
      <c r="AH15" s="203">
        <f t="shared" si="4"/>
        <v>688449.08932999999</v>
      </c>
      <c r="AI15" s="200">
        <v>268106.59392000001</v>
      </c>
      <c r="AJ15" s="200">
        <v>0</v>
      </c>
      <c r="AK15" s="200">
        <v>0</v>
      </c>
      <c r="AL15" s="200">
        <v>6647.1239999999998</v>
      </c>
      <c r="AM15" s="200">
        <v>413695.37140800001</v>
      </c>
      <c r="AN15" s="200">
        <v>45059050.65234641</v>
      </c>
      <c r="AO15" s="200">
        <v>657988329.30999994</v>
      </c>
      <c r="AP15" s="200">
        <v>44877488.168016374</v>
      </c>
      <c r="AQ15" s="200">
        <v>0</v>
      </c>
      <c r="AR15" s="203">
        <f t="shared" si="5"/>
        <v>1421664931.98877</v>
      </c>
      <c r="AS15" s="203">
        <f t="shared" si="6"/>
        <v>1103258238.4549401</v>
      </c>
      <c r="AT15" s="200">
        <v>1011125453.53776</v>
      </c>
      <c r="AU15" s="200">
        <v>0</v>
      </c>
      <c r="AV15" s="200">
        <v>0</v>
      </c>
      <c r="AW15" s="200">
        <v>0</v>
      </c>
      <c r="AX15" s="200">
        <v>92132784.917183995</v>
      </c>
      <c r="AY15" s="200">
        <v>0</v>
      </c>
      <c r="AZ15" s="203">
        <f t="shared" si="7"/>
        <v>450590506.52345997</v>
      </c>
      <c r="BA15" s="200">
        <v>322285911.44270402</v>
      </c>
      <c r="BB15" s="200">
        <v>82208156.072592005</v>
      </c>
      <c r="BC15" s="200">
        <v>0</v>
      </c>
      <c r="BD15" s="200">
        <v>16859501.668088</v>
      </c>
      <c r="BE15" s="200">
        <v>20425376.484264001</v>
      </c>
      <c r="BF15" s="200">
        <v>8811560.8558159992</v>
      </c>
      <c r="BG15" s="200">
        <v>0</v>
      </c>
      <c r="BH15" s="200">
        <v>0</v>
      </c>
      <c r="BI15" s="200">
        <v>0</v>
      </c>
      <c r="BJ15" s="203">
        <f t="shared" si="8"/>
        <v>1553848744.9784</v>
      </c>
      <c r="BK15" s="203">
        <f t="shared" si="9"/>
        <v>-132183812.98963</v>
      </c>
      <c r="BL15" s="203">
        <f>$BO$9+SUMPRODUCT($D$10:D15,$BK$10:BK15)</f>
        <v>1181408272.3204193</v>
      </c>
      <c r="BM15" s="202">
        <f t="shared" si="10"/>
        <v>5.85</v>
      </c>
      <c r="BN15" s="203">
        <f t="shared" si="13"/>
        <v>99140526.23308</v>
      </c>
      <c r="BO15" s="204">
        <f t="shared" si="11"/>
        <v>1661666563.3816199</v>
      </c>
      <c r="BP15" s="201">
        <f t="shared" si="14"/>
        <v>1101419357.9720707</v>
      </c>
      <c r="BQ15" s="201">
        <f t="shared" si="15"/>
        <v>6057806468.8463888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>
      <c r="A16" s="165">
        <f t="shared" si="12"/>
        <v>7</v>
      </c>
      <c r="B16" s="166">
        <f t="shared" si="12"/>
        <v>2026</v>
      </c>
      <c r="C16" s="29">
        <v>5.85</v>
      </c>
      <c r="D16" s="164">
        <f t="shared" si="16"/>
        <v>0.67168000000000005</v>
      </c>
      <c r="E16" s="200">
        <v>1288460445.9200001</v>
      </c>
      <c r="F16" s="203">
        <f t="shared" si="0"/>
        <v>30688353.829319999</v>
      </c>
      <c r="G16" s="200">
        <v>30688353.829319999</v>
      </c>
      <c r="H16" s="200">
        <v>0</v>
      </c>
      <c r="I16" s="200">
        <v>0</v>
      </c>
      <c r="J16" s="200">
        <v>0</v>
      </c>
      <c r="K16" s="200">
        <v>3827448.8318879995</v>
      </c>
      <c r="L16" s="200">
        <v>45240372.934628911</v>
      </c>
      <c r="M16" s="203">
        <f t="shared" si="1"/>
        <v>359833345.21310002</v>
      </c>
      <c r="N16" s="200">
        <v>359833345.21310008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3">
        <f t="shared" si="2"/>
        <v>180384462.42879999</v>
      </c>
      <c r="V16" s="200">
        <v>180384462.42880002</v>
      </c>
      <c r="W16" s="200">
        <v>0</v>
      </c>
      <c r="X16" s="200">
        <v>0</v>
      </c>
      <c r="Y16" s="200">
        <v>0</v>
      </c>
      <c r="Z16" s="200">
        <v>0</v>
      </c>
      <c r="AA16" s="200">
        <v>0</v>
      </c>
      <c r="AB16" s="200">
        <v>0</v>
      </c>
      <c r="AC16" s="203">
        <f t="shared" si="3"/>
        <v>18091084.062740002</v>
      </c>
      <c r="AD16" s="200">
        <v>15412575.425016001</v>
      </c>
      <c r="AE16" s="200">
        <v>2220189.828648</v>
      </c>
      <c r="AF16" s="200">
        <v>0</v>
      </c>
      <c r="AG16" s="200">
        <v>458318.80907999998</v>
      </c>
      <c r="AH16" s="203">
        <f t="shared" si="4"/>
        <v>815879.59438000002</v>
      </c>
      <c r="AI16" s="200">
        <v>346938.16343999997</v>
      </c>
      <c r="AJ16" s="200">
        <v>0</v>
      </c>
      <c r="AK16" s="200">
        <v>0</v>
      </c>
      <c r="AL16" s="200">
        <v>9057.9543119999998</v>
      </c>
      <c r="AM16" s="200">
        <v>459883.476624</v>
      </c>
      <c r="AN16" s="200">
        <v>52390591.291455999</v>
      </c>
      <c r="AO16" s="200">
        <v>747869535.10000002</v>
      </c>
      <c r="AP16" s="200">
        <v>47570137.458097354</v>
      </c>
      <c r="AQ16" s="200">
        <v>0</v>
      </c>
      <c r="AR16" s="203">
        <f t="shared" si="5"/>
        <v>1486711210.74441</v>
      </c>
      <c r="AS16" s="203">
        <f t="shared" si="6"/>
        <v>1077911416.0557599</v>
      </c>
      <c r="AT16" s="200">
        <v>990505083.72103202</v>
      </c>
      <c r="AU16" s="200">
        <v>0</v>
      </c>
      <c r="AV16" s="200">
        <v>0</v>
      </c>
      <c r="AW16" s="200">
        <v>0</v>
      </c>
      <c r="AX16" s="200">
        <v>87406332.334727988</v>
      </c>
      <c r="AY16" s="200">
        <v>0</v>
      </c>
      <c r="AZ16" s="203">
        <f t="shared" si="7"/>
        <v>523905912.91456002</v>
      </c>
      <c r="BA16" s="200">
        <v>369471840.60837603</v>
      </c>
      <c r="BB16" s="200">
        <v>100519703.133432</v>
      </c>
      <c r="BC16" s="200">
        <v>0</v>
      </c>
      <c r="BD16" s="200">
        <v>19212937.861200001</v>
      </c>
      <c r="BE16" s="200">
        <v>23188223.798159998</v>
      </c>
      <c r="BF16" s="200">
        <v>11513207.513392</v>
      </c>
      <c r="BG16" s="200">
        <v>0</v>
      </c>
      <c r="BH16" s="200">
        <v>0</v>
      </c>
      <c r="BI16" s="200">
        <v>0</v>
      </c>
      <c r="BJ16" s="203">
        <f t="shared" si="8"/>
        <v>1601817328.97032</v>
      </c>
      <c r="BK16" s="203">
        <f t="shared" si="9"/>
        <v>-115106118.22590999</v>
      </c>
      <c r="BL16" s="203">
        <f>$BO$9+SUMPRODUCT($D$10:D16,$BK$10:BK16)</f>
        <v>1104093794.83044</v>
      </c>
      <c r="BM16" s="202">
        <f t="shared" si="10"/>
        <v>5.85</v>
      </c>
      <c r="BN16" s="203">
        <f t="shared" si="13"/>
        <v>97207493.957819998</v>
      </c>
      <c r="BO16" s="204">
        <f t="shared" si="11"/>
        <v>1643767939.1135299</v>
      </c>
      <c r="BP16" s="201">
        <f t="shared" si="14"/>
        <v>1072662831.7956834</v>
      </c>
      <c r="BQ16" s="201">
        <f t="shared" si="15"/>
        <v>6972308406.6719418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>
      <c r="A17" s="165">
        <f t="shared" si="12"/>
        <v>8</v>
      </c>
      <c r="B17" s="166">
        <f t="shared" si="12"/>
        <v>2027</v>
      </c>
      <c r="C17" s="29">
        <v>5.85</v>
      </c>
      <c r="D17" s="164">
        <f t="shared" si="16"/>
        <v>0.63456000000000001</v>
      </c>
      <c r="E17" s="200">
        <v>1206686903.46</v>
      </c>
      <c r="F17" s="203">
        <f t="shared" si="0"/>
        <v>29689683.16987</v>
      </c>
      <c r="G17" s="200">
        <v>29689683.169872001</v>
      </c>
      <c r="H17" s="200">
        <v>0</v>
      </c>
      <c r="I17" s="200">
        <v>0</v>
      </c>
      <c r="J17" s="200">
        <v>0</v>
      </c>
      <c r="K17" s="200">
        <v>3830142.7974479999</v>
      </c>
      <c r="L17" s="200">
        <v>42256808.340124153</v>
      </c>
      <c r="M17" s="203">
        <f t="shared" si="1"/>
        <v>336932859.68790001</v>
      </c>
      <c r="N17" s="200">
        <v>336932859.68790007</v>
      </c>
      <c r="O17" s="200">
        <v>0</v>
      </c>
      <c r="P17" s="200">
        <v>0</v>
      </c>
      <c r="Q17" s="200">
        <v>0</v>
      </c>
      <c r="R17" s="200">
        <v>0</v>
      </c>
      <c r="S17" s="200">
        <v>0</v>
      </c>
      <c r="T17" s="200">
        <v>0</v>
      </c>
      <c r="U17" s="203">
        <f t="shared" si="2"/>
        <v>168936166.4844</v>
      </c>
      <c r="V17" s="200">
        <v>168936166.48440003</v>
      </c>
      <c r="W17" s="200">
        <v>0</v>
      </c>
      <c r="X17" s="200">
        <v>0</v>
      </c>
      <c r="Y17" s="200">
        <v>0</v>
      </c>
      <c r="Z17" s="200">
        <v>0</v>
      </c>
      <c r="AA17" s="200">
        <v>0</v>
      </c>
      <c r="AB17" s="200">
        <v>0</v>
      </c>
      <c r="AC17" s="203">
        <f t="shared" si="3"/>
        <v>19956741.23494</v>
      </c>
      <c r="AD17" s="200">
        <v>16829303.737224001</v>
      </c>
      <c r="AE17" s="200">
        <v>2627874.119376</v>
      </c>
      <c r="AF17" s="200">
        <v>0</v>
      </c>
      <c r="AG17" s="200">
        <v>499563.37833600002</v>
      </c>
      <c r="AH17" s="203">
        <f t="shared" si="4"/>
        <v>943288.72704000003</v>
      </c>
      <c r="AI17" s="200">
        <v>433829.84700000001</v>
      </c>
      <c r="AJ17" s="200">
        <v>0</v>
      </c>
      <c r="AK17" s="200">
        <v>0</v>
      </c>
      <c r="AL17" s="200">
        <v>11814.464376</v>
      </c>
      <c r="AM17" s="200">
        <v>497644.41566399997</v>
      </c>
      <c r="AN17" s="200">
        <v>59493738.565639213</v>
      </c>
      <c r="AO17" s="200">
        <v>837613879.30999994</v>
      </c>
      <c r="AP17" s="200">
        <v>50424345.7055832</v>
      </c>
      <c r="AQ17" s="200">
        <v>0</v>
      </c>
      <c r="AR17" s="203">
        <f t="shared" si="5"/>
        <v>1550077654.0229399</v>
      </c>
      <c r="AS17" s="203">
        <f t="shared" si="6"/>
        <v>1051325511.80897</v>
      </c>
      <c r="AT17" s="200">
        <v>968065264.92033601</v>
      </c>
      <c r="AU17" s="200">
        <v>0</v>
      </c>
      <c r="AV17" s="200">
        <v>0</v>
      </c>
      <c r="AW17" s="200">
        <v>0</v>
      </c>
      <c r="AX17" s="200">
        <v>83260246.888631999</v>
      </c>
      <c r="AY17" s="200">
        <v>0</v>
      </c>
      <c r="AZ17" s="203">
        <f t="shared" si="7"/>
        <v>594937385.65638995</v>
      </c>
      <c r="BA17" s="200">
        <v>410752238.98605603</v>
      </c>
      <c r="BB17" s="200">
        <v>122573126.48169599</v>
      </c>
      <c r="BC17" s="200">
        <v>0</v>
      </c>
      <c r="BD17" s="200">
        <v>21394880.571311999</v>
      </c>
      <c r="BE17" s="200">
        <v>25659889.075952001</v>
      </c>
      <c r="BF17" s="200">
        <v>14557250.541376</v>
      </c>
      <c r="BG17" s="200">
        <v>0</v>
      </c>
      <c r="BH17" s="200">
        <v>0</v>
      </c>
      <c r="BI17" s="200">
        <v>0</v>
      </c>
      <c r="BJ17" s="203">
        <f t="shared" si="8"/>
        <v>1646262897.4653599</v>
      </c>
      <c r="BK17" s="203">
        <f t="shared" si="9"/>
        <v>-96185243.442420006</v>
      </c>
      <c r="BL17" s="203">
        <f>$BO$9+SUMPRODUCT($D$10:D17,$BK$10:BK17)</f>
        <v>1043058486.751618</v>
      </c>
      <c r="BM17" s="202">
        <f t="shared" si="10"/>
        <v>5.85</v>
      </c>
      <c r="BN17" s="203">
        <f t="shared" si="13"/>
        <v>96160424.438140005</v>
      </c>
      <c r="BO17" s="204">
        <f t="shared" si="11"/>
        <v>1643743120.1092501</v>
      </c>
      <c r="BP17" s="201">
        <f t="shared" si="14"/>
        <v>1041747529.0468014</v>
      </c>
      <c r="BQ17" s="201">
        <f t="shared" si="15"/>
        <v>7813106467.8510113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>
      <c r="A18" s="165">
        <f t="shared" si="12"/>
        <v>9</v>
      </c>
      <c r="B18" s="166">
        <f t="shared" si="12"/>
        <v>2028</v>
      </c>
      <c r="C18" s="29">
        <v>5.85</v>
      </c>
      <c r="D18" s="164">
        <f t="shared" si="16"/>
        <v>0.59948999999999997</v>
      </c>
      <c r="E18" s="200">
        <v>1128015258.8899999</v>
      </c>
      <c r="F18" s="203">
        <f t="shared" si="0"/>
        <v>28667837.46156</v>
      </c>
      <c r="G18" s="200">
        <v>28667837.46156</v>
      </c>
      <c r="H18" s="200">
        <v>0</v>
      </c>
      <c r="I18" s="200">
        <v>0</v>
      </c>
      <c r="J18" s="200">
        <v>0</v>
      </c>
      <c r="K18" s="200">
        <v>3802841.1397679998</v>
      </c>
      <c r="L18" s="200">
        <v>39340181.597307764</v>
      </c>
      <c r="M18" s="203">
        <f t="shared" si="1"/>
        <v>314902161.28609997</v>
      </c>
      <c r="N18" s="200">
        <v>314902161.28609997</v>
      </c>
      <c r="O18" s="200">
        <v>0</v>
      </c>
      <c r="P18" s="200">
        <v>0</v>
      </c>
      <c r="Q18" s="200">
        <v>0</v>
      </c>
      <c r="R18" s="200">
        <v>0</v>
      </c>
      <c r="S18" s="200">
        <v>0</v>
      </c>
      <c r="T18" s="200">
        <v>0</v>
      </c>
      <c r="U18" s="203">
        <f t="shared" si="2"/>
        <v>157922136.2446</v>
      </c>
      <c r="V18" s="200">
        <v>157922136.2446</v>
      </c>
      <c r="W18" s="200">
        <v>0</v>
      </c>
      <c r="X18" s="200">
        <v>0</v>
      </c>
      <c r="Y18" s="200">
        <v>0</v>
      </c>
      <c r="Z18" s="200">
        <v>0</v>
      </c>
      <c r="AA18" s="200">
        <v>0</v>
      </c>
      <c r="AB18" s="200">
        <v>0</v>
      </c>
      <c r="AC18" s="203">
        <f t="shared" si="3"/>
        <v>21576762.628339998</v>
      </c>
      <c r="AD18" s="200">
        <v>18084234.106224</v>
      </c>
      <c r="AE18" s="200">
        <v>2957829.6184800002</v>
      </c>
      <c r="AF18" s="200">
        <v>0</v>
      </c>
      <c r="AG18" s="200">
        <v>534698.90364000003</v>
      </c>
      <c r="AH18" s="203">
        <f t="shared" si="4"/>
        <v>1068985.33394</v>
      </c>
      <c r="AI18" s="200">
        <v>527488.78142400004</v>
      </c>
      <c r="AJ18" s="200">
        <v>0</v>
      </c>
      <c r="AK18" s="200">
        <v>0</v>
      </c>
      <c r="AL18" s="200">
        <v>14887.779983999999</v>
      </c>
      <c r="AM18" s="200">
        <v>526608.772536</v>
      </c>
      <c r="AN18" s="200">
        <v>66143789.621133603</v>
      </c>
      <c r="AO18" s="200">
        <v>926400950.50999999</v>
      </c>
      <c r="AP18" s="200">
        <v>53449806.447918192</v>
      </c>
      <c r="AQ18" s="200">
        <v>0</v>
      </c>
      <c r="AR18" s="203">
        <f t="shared" si="5"/>
        <v>1613275452.2706699</v>
      </c>
      <c r="AS18" s="203">
        <f t="shared" si="6"/>
        <v>1022786536.76311</v>
      </c>
      <c r="AT18" s="200">
        <v>943858738.31858397</v>
      </c>
      <c r="AU18" s="200">
        <v>0</v>
      </c>
      <c r="AV18" s="200">
        <v>0</v>
      </c>
      <c r="AW18" s="200">
        <v>0</v>
      </c>
      <c r="AX18" s="200">
        <v>78927798.444527999</v>
      </c>
      <c r="AY18" s="200">
        <v>0</v>
      </c>
      <c r="AZ18" s="203">
        <f t="shared" si="7"/>
        <v>661437896.21133995</v>
      </c>
      <c r="BA18" s="200">
        <v>449702011.58952004</v>
      </c>
      <c r="BB18" s="200">
        <v>142593959.70626399</v>
      </c>
      <c r="BC18" s="200">
        <v>0</v>
      </c>
      <c r="BD18" s="200">
        <v>23401368.375951998</v>
      </c>
      <c r="BE18" s="200">
        <v>27820038.543359999</v>
      </c>
      <c r="BF18" s="200">
        <v>17920517.996240001</v>
      </c>
      <c r="BG18" s="200">
        <v>0</v>
      </c>
      <c r="BH18" s="200">
        <v>0</v>
      </c>
      <c r="BI18" s="200">
        <v>0</v>
      </c>
      <c r="BJ18" s="203">
        <f t="shared" si="8"/>
        <v>1684224432.9744501</v>
      </c>
      <c r="BK18" s="203">
        <f t="shared" si="9"/>
        <v>-70948980.703779995</v>
      </c>
      <c r="BL18" s="203">
        <f>$BO$9+SUMPRODUCT($D$10:D18,$BK$10:BK18)</f>
        <v>1000525282.3095089</v>
      </c>
      <c r="BM18" s="202">
        <f t="shared" si="10"/>
        <v>5.85</v>
      </c>
      <c r="BN18" s="203">
        <f t="shared" si="13"/>
        <v>96158972.526390001</v>
      </c>
      <c r="BO18" s="204">
        <f t="shared" si="11"/>
        <v>1668953111.93186</v>
      </c>
      <c r="BP18" s="201">
        <f t="shared" si="14"/>
        <v>1007140693.7182479</v>
      </c>
      <c r="BQ18" s="201">
        <f t="shared" si="15"/>
        <v>8560695896.6051073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A19" s="165">
        <f t="shared" si="12"/>
        <v>10</v>
      </c>
      <c r="B19" s="166">
        <f t="shared" si="12"/>
        <v>2029</v>
      </c>
      <c r="C19" s="29">
        <v>5.85</v>
      </c>
      <c r="D19" s="164">
        <f t="shared" si="16"/>
        <v>0.56635999999999997</v>
      </c>
      <c r="E19" s="200">
        <v>1055558438.35</v>
      </c>
      <c r="F19" s="203">
        <f t="shared" si="0"/>
        <v>27624355.809069999</v>
      </c>
      <c r="G19" s="200">
        <v>27624355.809071999</v>
      </c>
      <c r="H19" s="200">
        <v>0</v>
      </c>
      <c r="I19" s="200">
        <v>0</v>
      </c>
      <c r="J19" s="200">
        <v>0</v>
      </c>
      <c r="K19" s="200">
        <v>3766834.8851760002</v>
      </c>
      <c r="L19" s="200">
        <v>36498667.75061921</v>
      </c>
      <c r="M19" s="203">
        <f t="shared" si="1"/>
        <v>294615973.07800001</v>
      </c>
      <c r="N19" s="200">
        <v>294615973.07800001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3">
        <f t="shared" si="2"/>
        <v>147778181.36899999</v>
      </c>
      <c r="V19" s="200">
        <v>147778181.36900002</v>
      </c>
      <c r="W19" s="200">
        <v>0</v>
      </c>
      <c r="X19" s="200">
        <v>0</v>
      </c>
      <c r="Y19" s="200">
        <v>0</v>
      </c>
      <c r="Z19" s="200">
        <v>0</v>
      </c>
      <c r="AA19" s="200">
        <v>0</v>
      </c>
      <c r="AB19" s="200">
        <v>0</v>
      </c>
      <c r="AC19" s="203">
        <f t="shared" si="3"/>
        <v>23024583.441819999</v>
      </c>
      <c r="AD19" s="200">
        <v>19386318.371904001</v>
      </c>
      <c r="AE19" s="200">
        <v>3074638.1072880002</v>
      </c>
      <c r="AF19" s="200">
        <v>0</v>
      </c>
      <c r="AG19" s="200">
        <v>563626.96262400004</v>
      </c>
      <c r="AH19" s="203">
        <f t="shared" si="4"/>
        <v>1192497.1909</v>
      </c>
      <c r="AI19" s="200">
        <v>626997.28264799993</v>
      </c>
      <c r="AJ19" s="200">
        <v>0</v>
      </c>
      <c r="AK19" s="200">
        <v>0</v>
      </c>
      <c r="AL19" s="200">
        <v>18227.478720000003</v>
      </c>
      <c r="AM19" s="200">
        <v>547272.42952799995</v>
      </c>
      <c r="AN19" s="200">
        <v>71935237.22973682</v>
      </c>
      <c r="AO19" s="200">
        <v>1001624707.7</v>
      </c>
      <c r="AP19" s="200">
        <v>56656794.834793285</v>
      </c>
      <c r="AQ19" s="200">
        <v>0</v>
      </c>
      <c r="AR19" s="203">
        <f t="shared" si="5"/>
        <v>1664717833.28912</v>
      </c>
      <c r="AS19" s="203">
        <f t="shared" si="6"/>
        <v>992922147.39432001</v>
      </c>
      <c r="AT19" s="200">
        <v>917960873.91122389</v>
      </c>
      <c r="AU19" s="200">
        <v>0</v>
      </c>
      <c r="AV19" s="200">
        <v>0</v>
      </c>
      <c r="AW19" s="200">
        <v>0</v>
      </c>
      <c r="AX19" s="200">
        <v>74961273.483096004</v>
      </c>
      <c r="AY19" s="200">
        <v>0</v>
      </c>
      <c r="AZ19" s="203">
        <f t="shared" si="7"/>
        <v>719352372.29736996</v>
      </c>
      <c r="BA19" s="200">
        <v>489383566.07456803</v>
      </c>
      <c r="BB19" s="200">
        <v>153514604.034008</v>
      </c>
      <c r="BC19" s="200">
        <v>0</v>
      </c>
      <c r="BD19" s="200">
        <v>25224369.068216003</v>
      </c>
      <c r="BE19" s="200">
        <v>29650711.522312</v>
      </c>
      <c r="BF19" s="200">
        <v>21579121.598264001</v>
      </c>
      <c r="BG19" s="200">
        <v>0</v>
      </c>
      <c r="BH19" s="200">
        <v>0</v>
      </c>
      <c r="BI19" s="200">
        <v>0</v>
      </c>
      <c r="BJ19" s="203">
        <f t="shared" si="8"/>
        <v>1712274519.69169</v>
      </c>
      <c r="BK19" s="203">
        <f t="shared" si="9"/>
        <v>-47556686.402570002</v>
      </c>
      <c r="BL19" s="203">
        <f>$BO$9+SUMPRODUCT($D$10:D19,$BK$10:BK19)</f>
        <v>973591077.39854932</v>
      </c>
      <c r="BM19" s="202">
        <f t="shared" si="10"/>
        <v>5.85</v>
      </c>
      <c r="BN19" s="203">
        <f t="shared" si="13"/>
        <v>97633757.048010007</v>
      </c>
      <c r="BO19" s="204">
        <f t="shared" si="11"/>
        <v>1719030182.5773001</v>
      </c>
      <c r="BP19" s="201">
        <f t="shared" si="14"/>
        <v>967516066.25694573</v>
      </c>
      <c r="BQ19" s="201">
        <f t="shared" si="15"/>
        <v>9191402629.4409847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>
      <c r="A20" s="165">
        <f t="shared" si="12"/>
        <v>11</v>
      </c>
      <c r="B20" s="166">
        <f t="shared" si="12"/>
        <v>2030</v>
      </c>
      <c r="C20" s="29">
        <v>5.85</v>
      </c>
      <c r="D20" s="164">
        <f t="shared" si="16"/>
        <v>0.53505999999999998</v>
      </c>
      <c r="E20" s="200">
        <v>976553676.35000002</v>
      </c>
      <c r="F20" s="203">
        <f t="shared" si="0"/>
        <v>26560850.225450002</v>
      </c>
      <c r="G20" s="200">
        <v>26560850.225448001</v>
      </c>
      <c r="H20" s="200">
        <v>0</v>
      </c>
      <c r="I20" s="200">
        <v>0</v>
      </c>
      <c r="J20" s="200">
        <v>0</v>
      </c>
      <c r="K20" s="200">
        <v>3713384.6138399998</v>
      </c>
      <c r="L20" s="200">
        <v>33740289.057831056</v>
      </c>
      <c r="M20" s="203">
        <f t="shared" si="1"/>
        <v>272525712.0632</v>
      </c>
      <c r="N20" s="200">
        <v>272525712.06320006</v>
      </c>
      <c r="O20" s="200">
        <v>0</v>
      </c>
      <c r="P20" s="200">
        <v>0</v>
      </c>
      <c r="Q20" s="200">
        <v>0</v>
      </c>
      <c r="R20" s="200">
        <v>0</v>
      </c>
      <c r="S20" s="200">
        <v>0</v>
      </c>
      <c r="T20" s="200">
        <v>0</v>
      </c>
      <c r="U20" s="203">
        <f t="shared" si="2"/>
        <v>136717514.68900001</v>
      </c>
      <c r="V20" s="200">
        <v>136717514.68900001</v>
      </c>
      <c r="W20" s="200">
        <v>0</v>
      </c>
      <c r="X20" s="200">
        <v>0</v>
      </c>
      <c r="Y20" s="200">
        <v>0</v>
      </c>
      <c r="Z20" s="200">
        <v>0</v>
      </c>
      <c r="AA20" s="200">
        <v>0</v>
      </c>
      <c r="AB20" s="200">
        <v>0</v>
      </c>
      <c r="AC20" s="203">
        <f t="shared" si="3"/>
        <v>24370792.596220002</v>
      </c>
      <c r="AD20" s="200">
        <v>20535283.894487999</v>
      </c>
      <c r="AE20" s="200">
        <v>3252208.2642720002</v>
      </c>
      <c r="AF20" s="200">
        <v>0</v>
      </c>
      <c r="AG20" s="200">
        <v>583300.43745600001</v>
      </c>
      <c r="AH20" s="203">
        <f t="shared" si="4"/>
        <v>1312524.0598800001</v>
      </c>
      <c r="AI20" s="200">
        <v>733427.75985600008</v>
      </c>
      <c r="AJ20" s="200">
        <v>0</v>
      </c>
      <c r="AK20" s="200">
        <v>0</v>
      </c>
      <c r="AL20" s="200">
        <v>21823.948872000001</v>
      </c>
      <c r="AM20" s="200">
        <v>557272.35115200002</v>
      </c>
      <c r="AN20" s="200">
        <v>78227329.896692812</v>
      </c>
      <c r="AO20" s="200">
        <v>1079150460.0699999</v>
      </c>
      <c r="AP20" s="200">
        <v>60056202.524880886</v>
      </c>
      <c r="AQ20" s="200">
        <v>0</v>
      </c>
      <c r="AR20" s="203">
        <f t="shared" si="5"/>
        <v>1716375059.7969899</v>
      </c>
      <c r="AS20" s="203">
        <f t="shared" si="6"/>
        <v>961406895.50057006</v>
      </c>
      <c r="AT20" s="200">
        <v>890463081.26740801</v>
      </c>
      <c r="AU20" s="200">
        <v>0</v>
      </c>
      <c r="AV20" s="200">
        <v>0</v>
      </c>
      <c r="AW20" s="200">
        <v>0</v>
      </c>
      <c r="AX20" s="200">
        <v>70943814.233160004</v>
      </c>
      <c r="AY20" s="200">
        <v>0</v>
      </c>
      <c r="AZ20" s="203">
        <f t="shared" si="7"/>
        <v>782273298.96693003</v>
      </c>
      <c r="BA20" s="200">
        <v>523112779.75016803</v>
      </c>
      <c r="BB20" s="200">
        <v>175715105.36724803</v>
      </c>
      <c r="BC20" s="200">
        <v>0</v>
      </c>
      <c r="BD20" s="200">
        <v>26796590.515247997</v>
      </c>
      <c r="BE20" s="200">
        <v>31091807.605264001</v>
      </c>
      <c r="BF20" s="200">
        <v>25557015.728999998</v>
      </c>
      <c r="BG20" s="200">
        <v>0</v>
      </c>
      <c r="BH20" s="200">
        <v>0</v>
      </c>
      <c r="BI20" s="200">
        <v>0</v>
      </c>
      <c r="BJ20" s="203">
        <f t="shared" si="8"/>
        <v>1743680194.4675</v>
      </c>
      <c r="BK20" s="203">
        <f t="shared" si="9"/>
        <v>-27305134.670510001</v>
      </c>
      <c r="BL20" s="203">
        <f>$BO$9+SUMPRODUCT($D$10:D20,$BK$10:BK20)</f>
        <v>958981192.04174626</v>
      </c>
      <c r="BM20" s="202">
        <f t="shared" si="10"/>
        <v>5.85</v>
      </c>
      <c r="BN20" s="203">
        <f t="shared" si="13"/>
        <v>100563265.68076999</v>
      </c>
      <c r="BO20" s="204">
        <f t="shared" si="11"/>
        <v>1792288313.5875599</v>
      </c>
      <c r="BP20" s="201">
        <f t="shared" si="14"/>
        <v>931111138.7744149</v>
      </c>
      <c r="BQ20" s="201">
        <f t="shared" si="15"/>
        <v>9776666957.1313572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>
      <c r="A21" s="165">
        <f t="shared" si="12"/>
        <v>12</v>
      </c>
      <c r="B21" s="166">
        <f t="shared" si="12"/>
        <v>2031</v>
      </c>
      <c r="C21" s="29">
        <v>5.85</v>
      </c>
      <c r="D21" s="164">
        <f t="shared" si="16"/>
        <v>0.50548999999999999</v>
      </c>
      <c r="E21" s="200">
        <v>899547760.96999991</v>
      </c>
      <c r="F21" s="203">
        <f t="shared" si="0"/>
        <v>25479279.097010002</v>
      </c>
      <c r="G21" s="200">
        <v>25479279.097007997</v>
      </c>
      <c r="H21" s="200">
        <v>0</v>
      </c>
      <c r="I21" s="200">
        <v>0</v>
      </c>
      <c r="J21" s="200">
        <v>0</v>
      </c>
      <c r="K21" s="200">
        <v>3644707.0756799998</v>
      </c>
      <c r="L21" s="200">
        <v>31072274.311268017</v>
      </c>
      <c r="M21" s="203">
        <f t="shared" si="1"/>
        <v>250972902.78650001</v>
      </c>
      <c r="N21" s="200">
        <v>250972902.78650001</v>
      </c>
      <c r="O21" s="200">
        <v>0</v>
      </c>
      <c r="P21" s="200">
        <v>0</v>
      </c>
      <c r="Q21" s="200">
        <v>0</v>
      </c>
      <c r="R21" s="200">
        <v>0</v>
      </c>
      <c r="S21" s="200">
        <v>0</v>
      </c>
      <c r="T21" s="200">
        <v>0</v>
      </c>
      <c r="U21" s="203">
        <f t="shared" si="2"/>
        <v>125936686.5358</v>
      </c>
      <c r="V21" s="200">
        <v>125936686.5358</v>
      </c>
      <c r="W21" s="200">
        <v>0</v>
      </c>
      <c r="X21" s="200">
        <v>0</v>
      </c>
      <c r="Y21" s="200">
        <v>0</v>
      </c>
      <c r="Z21" s="200">
        <v>0</v>
      </c>
      <c r="AA21" s="200">
        <v>0</v>
      </c>
      <c r="AB21" s="200">
        <v>0</v>
      </c>
      <c r="AC21" s="203">
        <f t="shared" si="3"/>
        <v>25121358.087409999</v>
      </c>
      <c r="AD21" s="200">
        <v>21159517.145712003</v>
      </c>
      <c r="AE21" s="200">
        <v>3364704.1224719998</v>
      </c>
      <c r="AF21" s="200">
        <v>0</v>
      </c>
      <c r="AG21" s="200">
        <v>597136.81922400009</v>
      </c>
      <c r="AH21" s="203">
        <f t="shared" si="4"/>
        <v>1428065.60002</v>
      </c>
      <c r="AI21" s="200">
        <v>843254.78555999999</v>
      </c>
      <c r="AJ21" s="200">
        <v>0</v>
      </c>
      <c r="AK21" s="200">
        <v>0</v>
      </c>
      <c r="AL21" s="200">
        <v>25557.053808000001</v>
      </c>
      <c r="AM21" s="200">
        <v>559253.76064799994</v>
      </c>
      <c r="AN21" s="200">
        <v>84037096.910703212</v>
      </c>
      <c r="AO21" s="200">
        <v>1141065185.3900001</v>
      </c>
      <c r="AP21" s="200">
        <v>63659574.67637375</v>
      </c>
      <c r="AQ21" s="200">
        <v>0</v>
      </c>
      <c r="AR21" s="203">
        <f t="shared" si="5"/>
        <v>1752417130.4707601</v>
      </c>
      <c r="AS21" s="203">
        <f t="shared" si="6"/>
        <v>928490579.39616001</v>
      </c>
      <c r="AT21" s="200">
        <v>861470845.49776804</v>
      </c>
      <c r="AU21" s="200">
        <v>0</v>
      </c>
      <c r="AV21" s="200">
        <v>0</v>
      </c>
      <c r="AW21" s="200">
        <v>0</v>
      </c>
      <c r="AX21" s="200">
        <v>67019733.898391999</v>
      </c>
      <c r="AY21" s="200">
        <v>0</v>
      </c>
      <c r="AZ21" s="203">
        <f t="shared" si="7"/>
        <v>840370969.10703003</v>
      </c>
      <c r="BA21" s="200">
        <v>546275219.76923203</v>
      </c>
      <c r="BB21" s="200">
        <v>203988679.64920801</v>
      </c>
      <c r="BC21" s="200">
        <v>0</v>
      </c>
      <c r="BD21" s="200">
        <v>28144195.395136002</v>
      </c>
      <c r="BE21" s="200">
        <v>32165599.413416002</v>
      </c>
      <c r="BF21" s="200">
        <v>29797274.880040001</v>
      </c>
      <c r="BG21" s="200">
        <v>0</v>
      </c>
      <c r="BH21" s="200">
        <v>0</v>
      </c>
      <c r="BI21" s="200">
        <v>0</v>
      </c>
      <c r="BJ21" s="203">
        <f t="shared" si="8"/>
        <v>1768861548.50319</v>
      </c>
      <c r="BK21" s="203">
        <f t="shared" si="9"/>
        <v>-16444418.032430001</v>
      </c>
      <c r="BL21" s="203">
        <f>$BO$9+SUMPRODUCT($D$10:D21,$BK$10:BK21)</f>
        <v>950668703.17053318</v>
      </c>
      <c r="BM21" s="202">
        <f t="shared" si="10"/>
        <v>5.85</v>
      </c>
      <c r="BN21" s="203">
        <f t="shared" si="13"/>
        <v>104848866.34487</v>
      </c>
      <c r="BO21" s="204">
        <f t="shared" si="11"/>
        <v>1880692761.9000001</v>
      </c>
      <c r="BP21" s="201">
        <f t="shared" si="14"/>
        <v>892859443.43484497</v>
      </c>
      <c r="BQ21" s="201">
        <f t="shared" si="15"/>
        <v>10267883599.500717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>
      <c r="A22" s="165">
        <f t="shared" si="12"/>
        <v>13</v>
      </c>
      <c r="B22" s="166">
        <f t="shared" si="12"/>
        <v>2032</v>
      </c>
      <c r="C22" s="29">
        <v>5.85</v>
      </c>
      <c r="D22" s="164">
        <f t="shared" si="16"/>
        <v>0.47754999999999997</v>
      </c>
      <c r="E22" s="200">
        <v>829622726.38999999</v>
      </c>
      <c r="F22" s="203">
        <f t="shared" si="0"/>
        <v>24381707.01754</v>
      </c>
      <c r="G22" s="200">
        <v>24381707.017535999</v>
      </c>
      <c r="H22" s="200">
        <v>0</v>
      </c>
      <c r="I22" s="200">
        <v>0</v>
      </c>
      <c r="J22" s="200">
        <v>0</v>
      </c>
      <c r="K22" s="200">
        <v>3561717.7374240002</v>
      </c>
      <c r="L22" s="200">
        <v>28501548.430234607</v>
      </c>
      <c r="M22" s="203">
        <f t="shared" si="1"/>
        <v>231400411.54370001</v>
      </c>
      <c r="N22" s="200">
        <v>231400411.54370001</v>
      </c>
      <c r="O22" s="200">
        <v>0</v>
      </c>
      <c r="P22" s="200">
        <v>0</v>
      </c>
      <c r="Q22" s="200">
        <v>0</v>
      </c>
      <c r="R22" s="200">
        <v>0</v>
      </c>
      <c r="S22" s="200">
        <v>0</v>
      </c>
      <c r="T22" s="200">
        <v>0</v>
      </c>
      <c r="U22" s="203">
        <f t="shared" si="2"/>
        <v>116147181.6946</v>
      </c>
      <c r="V22" s="200">
        <v>116147181.69460002</v>
      </c>
      <c r="W22" s="200">
        <v>0</v>
      </c>
      <c r="X22" s="200">
        <v>0</v>
      </c>
      <c r="Y22" s="200">
        <v>0</v>
      </c>
      <c r="Z22" s="200">
        <v>0</v>
      </c>
      <c r="AA22" s="200">
        <v>0</v>
      </c>
      <c r="AB22" s="200">
        <v>0</v>
      </c>
      <c r="AC22" s="203">
        <f t="shared" si="3"/>
        <v>25411853.66993</v>
      </c>
      <c r="AD22" s="200">
        <v>21379145.419367999</v>
      </c>
      <c r="AE22" s="200">
        <v>3425361.9568079999</v>
      </c>
      <c r="AF22" s="200">
        <v>0</v>
      </c>
      <c r="AG22" s="200">
        <v>607346.29375199997</v>
      </c>
      <c r="AH22" s="203">
        <f t="shared" si="4"/>
        <v>1538020.14696</v>
      </c>
      <c r="AI22" s="200">
        <v>953068.78075200005</v>
      </c>
      <c r="AJ22" s="200">
        <v>0</v>
      </c>
      <c r="AK22" s="200">
        <v>0</v>
      </c>
      <c r="AL22" s="200">
        <v>29333.98776</v>
      </c>
      <c r="AM22" s="200">
        <v>555617.37844799994</v>
      </c>
      <c r="AN22" s="200">
        <v>88167672.874232009</v>
      </c>
      <c r="AO22" s="200">
        <v>1157316474.3099999</v>
      </c>
      <c r="AP22" s="200">
        <v>67479149.156956181</v>
      </c>
      <c r="AQ22" s="200">
        <v>0</v>
      </c>
      <c r="AR22" s="203">
        <f t="shared" si="5"/>
        <v>1743905736.5815799</v>
      </c>
      <c r="AS22" s="203">
        <f t="shared" si="6"/>
        <v>894290231.12035</v>
      </c>
      <c r="AT22" s="200">
        <v>831100781.6065681</v>
      </c>
      <c r="AU22" s="200">
        <v>0</v>
      </c>
      <c r="AV22" s="200">
        <v>0</v>
      </c>
      <c r="AW22" s="200">
        <v>0</v>
      </c>
      <c r="AX22" s="200">
        <v>63189449.513784006</v>
      </c>
      <c r="AY22" s="200">
        <v>0</v>
      </c>
      <c r="AZ22" s="203">
        <f t="shared" si="7"/>
        <v>881676728.74231994</v>
      </c>
      <c r="BA22" s="200">
        <v>560206506.03325605</v>
      </c>
      <c r="BB22" s="200">
        <v>225028612.384464</v>
      </c>
      <c r="BC22" s="200">
        <v>0</v>
      </c>
      <c r="BD22" s="200">
        <v>29328100.671359997</v>
      </c>
      <c r="BE22" s="200">
        <v>32911037.119647998</v>
      </c>
      <c r="BF22" s="200">
        <v>34202472.533592001</v>
      </c>
      <c r="BG22" s="200">
        <v>0</v>
      </c>
      <c r="BH22" s="200">
        <v>0</v>
      </c>
      <c r="BI22" s="200">
        <v>0</v>
      </c>
      <c r="BJ22" s="203">
        <f t="shared" si="8"/>
        <v>1775966959.8626699</v>
      </c>
      <c r="BK22" s="203">
        <f t="shared" si="9"/>
        <v>-32061223.281089999</v>
      </c>
      <c r="BL22" s="203">
        <f>$BO$9+SUMPRODUCT($D$10:D22,$BK$10:BK22)</f>
        <v>935357865.9926486</v>
      </c>
      <c r="BM22" s="202">
        <f t="shared" si="10"/>
        <v>5.85</v>
      </c>
      <c r="BN22" s="203">
        <f t="shared" si="13"/>
        <v>110020526.57115</v>
      </c>
      <c r="BO22" s="204">
        <f t="shared" si="11"/>
        <v>1958652065.1900599</v>
      </c>
      <c r="BP22" s="201">
        <f t="shared" si="14"/>
        <v>847347420.07499194</v>
      </c>
      <c r="BQ22" s="201">
        <f t="shared" si="15"/>
        <v>10591842750.937399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165">
        <f t="shared" si="12"/>
        <v>14</v>
      </c>
      <c r="B23" s="166">
        <f t="shared" si="12"/>
        <v>2033</v>
      </c>
      <c r="C23" s="29">
        <v>5.85</v>
      </c>
      <c r="D23" s="164">
        <f t="shared" si="16"/>
        <v>0.45116000000000001</v>
      </c>
      <c r="E23" s="200">
        <v>773900112.34000003</v>
      </c>
      <c r="F23" s="203">
        <f t="shared" si="0"/>
        <v>23270655.693909999</v>
      </c>
      <c r="G23" s="200">
        <v>23270655.693911999</v>
      </c>
      <c r="H23" s="200">
        <v>0</v>
      </c>
      <c r="I23" s="200">
        <v>0</v>
      </c>
      <c r="J23" s="200">
        <v>0</v>
      </c>
      <c r="K23" s="200">
        <v>3465976.255632</v>
      </c>
      <c r="L23" s="200">
        <v>26034297.702891715</v>
      </c>
      <c r="M23" s="203">
        <f t="shared" si="1"/>
        <v>215804428.5625</v>
      </c>
      <c r="N23" s="200">
        <v>215804428.56250003</v>
      </c>
      <c r="O23" s="200">
        <v>0</v>
      </c>
      <c r="P23" s="200">
        <v>0</v>
      </c>
      <c r="Q23" s="200">
        <v>0</v>
      </c>
      <c r="R23" s="200">
        <v>0</v>
      </c>
      <c r="S23" s="200">
        <v>0</v>
      </c>
      <c r="T23" s="200">
        <v>0</v>
      </c>
      <c r="U23" s="203">
        <f t="shared" si="2"/>
        <v>108346015.72759999</v>
      </c>
      <c r="V23" s="200">
        <v>108346015.72760001</v>
      </c>
      <c r="W23" s="200">
        <v>0</v>
      </c>
      <c r="X23" s="200">
        <v>0</v>
      </c>
      <c r="Y23" s="200">
        <v>0</v>
      </c>
      <c r="Z23" s="200">
        <v>0</v>
      </c>
      <c r="AA23" s="200">
        <v>0</v>
      </c>
      <c r="AB23" s="200">
        <v>0</v>
      </c>
      <c r="AC23" s="203">
        <f t="shared" si="3"/>
        <v>25917324.383019999</v>
      </c>
      <c r="AD23" s="200">
        <v>21822202.675944</v>
      </c>
      <c r="AE23" s="200">
        <v>3483426.0257279999</v>
      </c>
      <c r="AF23" s="200">
        <v>0</v>
      </c>
      <c r="AG23" s="200">
        <v>611695.68134399992</v>
      </c>
      <c r="AH23" s="203">
        <f t="shared" si="4"/>
        <v>1641693.19591</v>
      </c>
      <c r="AI23" s="200">
        <v>1062963.0102959999</v>
      </c>
      <c r="AJ23" s="200">
        <v>0</v>
      </c>
      <c r="AK23" s="200">
        <v>0</v>
      </c>
      <c r="AL23" s="200">
        <v>33113.91072</v>
      </c>
      <c r="AM23" s="200">
        <v>545616.27489599993</v>
      </c>
      <c r="AN23" s="200">
        <v>91189735.703412801</v>
      </c>
      <c r="AO23" s="200">
        <v>1168889639.0599999</v>
      </c>
      <c r="AP23" s="200">
        <v>71527898.106373549</v>
      </c>
      <c r="AQ23" s="200">
        <v>0</v>
      </c>
      <c r="AR23" s="203">
        <f t="shared" si="5"/>
        <v>1736087664.3912499</v>
      </c>
      <c r="AS23" s="203">
        <f t="shared" si="6"/>
        <v>858972946.58419001</v>
      </c>
      <c r="AT23" s="200">
        <v>799480573.06075203</v>
      </c>
      <c r="AU23" s="200">
        <v>0</v>
      </c>
      <c r="AV23" s="200">
        <v>0</v>
      </c>
      <c r="AW23" s="200">
        <v>0</v>
      </c>
      <c r="AX23" s="200">
        <v>59492373.523439996</v>
      </c>
      <c r="AY23" s="200">
        <v>0</v>
      </c>
      <c r="AZ23" s="203">
        <f t="shared" si="7"/>
        <v>911897357.03412998</v>
      </c>
      <c r="BA23" s="200">
        <v>574365573.51535201</v>
      </c>
      <c r="BB23" s="200">
        <v>235083018.41709599</v>
      </c>
      <c r="BC23" s="200">
        <v>0</v>
      </c>
      <c r="BD23" s="200">
        <v>30365211.301799998</v>
      </c>
      <c r="BE23" s="200">
        <v>33384482.370432001</v>
      </c>
      <c r="BF23" s="200">
        <v>38699071.429448009</v>
      </c>
      <c r="BG23" s="200">
        <v>0</v>
      </c>
      <c r="BH23" s="200">
        <v>0</v>
      </c>
      <c r="BI23" s="200">
        <v>0</v>
      </c>
      <c r="BJ23" s="203">
        <f t="shared" si="8"/>
        <v>1770870303.61832</v>
      </c>
      <c r="BK23" s="203">
        <f t="shared" si="9"/>
        <v>-34782639.227069996</v>
      </c>
      <c r="BL23" s="203">
        <f>$BO$9+SUMPRODUCT($D$10:D23,$BK$10:BK23)</f>
        <v>919665330.47896373</v>
      </c>
      <c r="BM23" s="202">
        <f t="shared" si="10"/>
        <v>5.85</v>
      </c>
      <c r="BN23" s="203">
        <f t="shared" si="13"/>
        <v>114581145.81362</v>
      </c>
      <c r="BO23" s="204">
        <f t="shared" si="11"/>
        <v>2038450571.7766099</v>
      </c>
      <c r="BP23" s="201">
        <f t="shared" si="14"/>
        <v>798384439.59316492</v>
      </c>
      <c r="BQ23" s="201">
        <f t="shared" si="15"/>
        <v>10778189934.507727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A24" s="165">
        <f t="shared" si="12"/>
        <v>15</v>
      </c>
      <c r="B24" s="166">
        <f t="shared" si="12"/>
        <v>2034</v>
      </c>
      <c r="C24" s="29">
        <v>5.85</v>
      </c>
      <c r="D24" s="164">
        <f t="shared" si="16"/>
        <v>0.42623</v>
      </c>
      <c r="E24" s="200">
        <v>698083209.54000008</v>
      </c>
      <c r="F24" s="203">
        <f t="shared" si="0"/>
        <v>22148747.16014</v>
      </c>
      <c r="G24" s="200">
        <v>22148747.160143998</v>
      </c>
      <c r="H24" s="200">
        <v>0</v>
      </c>
      <c r="I24" s="200">
        <v>0</v>
      </c>
      <c r="J24" s="200">
        <v>0</v>
      </c>
      <c r="K24" s="200">
        <v>3358987.8986400003</v>
      </c>
      <c r="L24" s="200">
        <v>23675808.368912783</v>
      </c>
      <c r="M24" s="203">
        <f t="shared" si="1"/>
        <v>194587565.91960001</v>
      </c>
      <c r="N24" s="200">
        <v>194587565.91960004</v>
      </c>
      <c r="O24" s="200">
        <v>0</v>
      </c>
      <c r="P24" s="200">
        <v>0</v>
      </c>
      <c r="Q24" s="200">
        <v>0</v>
      </c>
      <c r="R24" s="200">
        <v>0</v>
      </c>
      <c r="S24" s="200">
        <v>0</v>
      </c>
      <c r="T24" s="200">
        <v>0</v>
      </c>
      <c r="U24" s="203">
        <f t="shared" si="2"/>
        <v>97731649.335600004</v>
      </c>
      <c r="V24" s="200">
        <v>97731649.335600019</v>
      </c>
      <c r="W24" s="200">
        <v>0</v>
      </c>
      <c r="X24" s="200">
        <v>0</v>
      </c>
      <c r="Y24" s="200">
        <v>0</v>
      </c>
      <c r="Z24" s="200">
        <v>0</v>
      </c>
      <c r="AA24" s="200">
        <v>0</v>
      </c>
      <c r="AB24" s="200">
        <v>0</v>
      </c>
      <c r="AC24" s="203">
        <f t="shared" si="3"/>
        <v>26363709.616730001</v>
      </c>
      <c r="AD24" s="200">
        <v>22282993.101599999</v>
      </c>
      <c r="AE24" s="200">
        <v>3470217.2281919997</v>
      </c>
      <c r="AF24" s="200">
        <v>0</v>
      </c>
      <c r="AG24" s="200">
        <v>610499.28693599999</v>
      </c>
      <c r="AH24" s="203">
        <f t="shared" si="4"/>
        <v>1738467.2334499999</v>
      </c>
      <c r="AI24" s="200">
        <v>1171391.3170080001</v>
      </c>
      <c r="AJ24" s="200">
        <v>0</v>
      </c>
      <c r="AK24" s="200">
        <v>0</v>
      </c>
      <c r="AL24" s="200">
        <v>36807.738528000002</v>
      </c>
      <c r="AM24" s="200">
        <v>530268.17791199998</v>
      </c>
      <c r="AN24" s="200">
        <v>94944062.414902404</v>
      </c>
      <c r="AO24" s="200">
        <v>1180578535.45</v>
      </c>
      <c r="AP24" s="200">
        <v>50546381.328503981</v>
      </c>
      <c r="AQ24" s="200">
        <v>0</v>
      </c>
      <c r="AR24" s="203">
        <f t="shared" si="5"/>
        <v>1695673914.72648</v>
      </c>
      <c r="AS24" s="203">
        <f t="shared" si="6"/>
        <v>822687862.26370001</v>
      </c>
      <c r="AT24" s="200">
        <v>766745607.19257593</v>
      </c>
      <c r="AU24" s="200">
        <v>0</v>
      </c>
      <c r="AV24" s="200">
        <v>0</v>
      </c>
      <c r="AW24" s="200">
        <v>0</v>
      </c>
      <c r="AX24" s="200">
        <v>55942255.071120001</v>
      </c>
      <c r="AY24" s="200">
        <v>0</v>
      </c>
      <c r="AZ24" s="203">
        <f t="shared" si="7"/>
        <v>949440624.14901996</v>
      </c>
      <c r="BA24" s="200">
        <v>589716875.79619205</v>
      </c>
      <c r="BB24" s="200">
        <v>251707064.96639201</v>
      </c>
      <c r="BC24" s="200">
        <v>0</v>
      </c>
      <c r="BD24" s="200">
        <v>31206416.933775999</v>
      </c>
      <c r="BE24" s="200">
        <v>33529120.206215996</v>
      </c>
      <c r="BF24" s="200">
        <v>43281146.24644801</v>
      </c>
      <c r="BG24" s="200">
        <v>0</v>
      </c>
      <c r="BH24" s="200">
        <v>0</v>
      </c>
      <c r="BI24" s="200">
        <v>0</v>
      </c>
      <c r="BJ24" s="203">
        <f t="shared" si="8"/>
        <v>1772128486.41272</v>
      </c>
      <c r="BK24" s="203">
        <f t="shared" si="9"/>
        <v>-76454571.686240003</v>
      </c>
      <c r="BL24" s="203">
        <f>$BO$9+SUMPRODUCT($D$10:D24,$BK$10:BK24)</f>
        <v>887078098.38913763</v>
      </c>
      <c r="BM24" s="202">
        <f t="shared" si="10"/>
        <v>5.85</v>
      </c>
      <c r="BN24" s="203">
        <f t="shared" si="13"/>
        <v>119249358.44893</v>
      </c>
      <c r="BO24" s="204">
        <f t="shared" si="11"/>
        <v>2081245358.5393</v>
      </c>
      <c r="BP24" s="201">
        <f t="shared" si="14"/>
        <v>755065735.53402734</v>
      </c>
      <c r="BQ24" s="201">
        <f t="shared" si="15"/>
        <v>10948453165.243397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>
      <c r="A25" s="165">
        <f t="shared" si="12"/>
        <v>16</v>
      </c>
      <c r="B25" s="166">
        <f t="shared" si="12"/>
        <v>2035</v>
      </c>
      <c r="C25" s="29">
        <v>5.85</v>
      </c>
      <c r="D25" s="164">
        <f t="shared" si="16"/>
        <v>0.40266999999999997</v>
      </c>
      <c r="E25" s="200">
        <v>633085866.58999991</v>
      </c>
      <c r="F25" s="203">
        <f t="shared" si="0"/>
        <v>21018766.028829999</v>
      </c>
      <c r="G25" s="200">
        <v>21018766.028832</v>
      </c>
      <c r="H25" s="200">
        <v>0</v>
      </c>
      <c r="I25" s="200">
        <v>0</v>
      </c>
      <c r="J25" s="200">
        <v>0</v>
      </c>
      <c r="K25" s="200">
        <v>3242123.3024399998</v>
      </c>
      <c r="L25" s="200">
        <v>21430561.756769672</v>
      </c>
      <c r="M25" s="203">
        <f t="shared" si="1"/>
        <v>176397057.79789999</v>
      </c>
      <c r="N25" s="200">
        <v>176397057.79789999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3">
        <f t="shared" si="2"/>
        <v>88632021.322600007</v>
      </c>
      <c r="V25" s="200">
        <v>88632021.322599992</v>
      </c>
      <c r="W25" s="200">
        <v>0</v>
      </c>
      <c r="X25" s="200">
        <v>0</v>
      </c>
      <c r="Y25" s="200">
        <v>0</v>
      </c>
      <c r="Z25" s="200">
        <v>0</v>
      </c>
      <c r="AA25" s="200">
        <v>0</v>
      </c>
      <c r="AB25" s="200">
        <v>0</v>
      </c>
      <c r="AC25" s="203">
        <f t="shared" si="3"/>
        <v>26213730.42605</v>
      </c>
      <c r="AD25" s="200">
        <v>22163337.377544001</v>
      </c>
      <c r="AE25" s="200">
        <v>3443481.9972960004</v>
      </c>
      <c r="AF25" s="200">
        <v>0</v>
      </c>
      <c r="AG25" s="200">
        <v>606911.05120800005</v>
      </c>
      <c r="AH25" s="203">
        <f t="shared" si="4"/>
        <v>1826811.4283799999</v>
      </c>
      <c r="AI25" s="200">
        <v>1274673.2552400001</v>
      </c>
      <c r="AJ25" s="200">
        <v>0</v>
      </c>
      <c r="AK25" s="200">
        <v>0</v>
      </c>
      <c r="AL25" s="200">
        <v>40320.369935999996</v>
      </c>
      <c r="AM25" s="200">
        <v>511817.80320000002</v>
      </c>
      <c r="AN25" s="200">
        <v>97507705.811479196</v>
      </c>
      <c r="AO25" s="200">
        <v>1192384320.8</v>
      </c>
      <c r="AP25" s="200">
        <v>0</v>
      </c>
      <c r="AQ25" s="200">
        <v>0</v>
      </c>
      <c r="AR25" s="203">
        <f t="shared" si="5"/>
        <v>1628653098.6744499</v>
      </c>
      <c r="AS25" s="203">
        <f t="shared" si="6"/>
        <v>785483177.14363003</v>
      </c>
      <c r="AT25" s="200">
        <v>733037876.70986402</v>
      </c>
      <c r="AU25" s="200">
        <v>0</v>
      </c>
      <c r="AV25" s="200">
        <v>0</v>
      </c>
      <c r="AW25" s="200">
        <v>0</v>
      </c>
      <c r="AX25" s="200">
        <v>52445300.433767997</v>
      </c>
      <c r="AY25" s="200">
        <v>0</v>
      </c>
      <c r="AZ25" s="203">
        <f t="shared" si="7"/>
        <v>975077058.11478996</v>
      </c>
      <c r="BA25" s="200">
        <v>596454640.785568</v>
      </c>
      <c r="BB25" s="200">
        <v>265460179.991992</v>
      </c>
      <c r="BC25" s="200">
        <v>0</v>
      </c>
      <c r="BD25" s="200">
        <v>31900966.449168</v>
      </c>
      <c r="BE25" s="200">
        <v>33405909.089816004</v>
      </c>
      <c r="BF25" s="200">
        <v>47855361.798248</v>
      </c>
      <c r="BG25" s="200">
        <v>0</v>
      </c>
      <c r="BH25" s="200">
        <v>0</v>
      </c>
      <c r="BI25" s="200">
        <v>0</v>
      </c>
      <c r="BJ25" s="203">
        <f t="shared" si="8"/>
        <v>1760560235.25842</v>
      </c>
      <c r="BK25" s="203">
        <f t="shared" si="9"/>
        <v>-131907136.58397</v>
      </c>
      <c r="BL25" s="203">
        <f>$BO$9+SUMPRODUCT($D$10:D25,$BK$10:BK25)</f>
        <v>833963051.70087051</v>
      </c>
      <c r="BM25" s="202">
        <f t="shared" si="10"/>
        <v>5.85</v>
      </c>
      <c r="BN25" s="203">
        <f t="shared" si="13"/>
        <v>121752853.47454999</v>
      </c>
      <c r="BO25" s="204">
        <f t="shared" si="11"/>
        <v>2071091075.4298799</v>
      </c>
      <c r="BP25" s="201">
        <f t="shared" si="14"/>
        <v>709036793.5164851</v>
      </c>
      <c r="BQ25" s="201">
        <f t="shared" si="15"/>
        <v>10990070299.50552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165">
        <f t="shared" si="12"/>
        <v>17</v>
      </c>
      <c r="B26" s="166">
        <f t="shared" si="12"/>
        <v>2036</v>
      </c>
      <c r="C26" s="29">
        <v>5.85</v>
      </c>
      <c r="D26" s="164">
        <f t="shared" si="16"/>
        <v>0.38041999999999998</v>
      </c>
      <c r="E26" s="200">
        <v>587190489.48000002</v>
      </c>
      <c r="F26" s="203">
        <f t="shared" si="0"/>
        <v>19884272.228039999</v>
      </c>
      <c r="G26" s="200">
        <v>19884272.228040002</v>
      </c>
      <c r="H26" s="200">
        <v>0</v>
      </c>
      <c r="I26" s="200">
        <v>0</v>
      </c>
      <c r="J26" s="200">
        <v>0</v>
      </c>
      <c r="K26" s="200">
        <v>3116663.6183759999</v>
      </c>
      <c r="L26" s="200">
        <v>19302433.577646561</v>
      </c>
      <c r="M26" s="203">
        <f t="shared" si="1"/>
        <v>163558094.37419999</v>
      </c>
      <c r="N26" s="200">
        <v>163558094.37420002</v>
      </c>
      <c r="O26" s="200">
        <v>0</v>
      </c>
      <c r="P26" s="200">
        <v>0</v>
      </c>
      <c r="Q26" s="200">
        <v>0</v>
      </c>
      <c r="R26" s="200">
        <v>0</v>
      </c>
      <c r="S26" s="200">
        <v>0</v>
      </c>
      <c r="T26" s="200">
        <v>0</v>
      </c>
      <c r="U26" s="203">
        <f t="shared" si="2"/>
        <v>82206668.527199998</v>
      </c>
      <c r="V26" s="200">
        <v>82206668.527200013</v>
      </c>
      <c r="W26" s="200">
        <v>0</v>
      </c>
      <c r="X26" s="200">
        <v>0</v>
      </c>
      <c r="Y26" s="200">
        <v>0</v>
      </c>
      <c r="Z26" s="200">
        <v>0</v>
      </c>
      <c r="AA26" s="200">
        <v>0</v>
      </c>
      <c r="AB26" s="200">
        <v>0</v>
      </c>
      <c r="AC26" s="203">
        <f t="shared" si="3"/>
        <v>25934171.184239998</v>
      </c>
      <c r="AD26" s="200">
        <v>21931066.234967999</v>
      </c>
      <c r="AE26" s="200">
        <v>3402112.8176640002</v>
      </c>
      <c r="AF26" s="200">
        <v>0</v>
      </c>
      <c r="AG26" s="200">
        <v>600992.13160800003</v>
      </c>
      <c r="AH26" s="203">
        <f t="shared" si="4"/>
        <v>1906734.39607</v>
      </c>
      <c r="AI26" s="200">
        <v>1371513.1193279999</v>
      </c>
      <c r="AJ26" s="200">
        <v>0</v>
      </c>
      <c r="AK26" s="200">
        <v>0</v>
      </c>
      <c r="AL26" s="200">
        <v>43607.741496000002</v>
      </c>
      <c r="AM26" s="200">
        <v>491613.535248</v>
      </c>
      <c r="AN26" s="200">
        <v>98850850.71210961</v>
      </c>
      <c r="AO26" s="200">
        <v>1204308164.01</v>
      </c>
      <c r="AP26" s="200">
        <v>0</v>
      </c>
      <c r="AQ26" s="200">
        <v>0</v>
      </c>
      <c r="AR26" s="203">
        <f t="shared" si="5"/>
        <v>1619068052.6278801</v>
      </c>
      <c r="AS26" s="203">
        <f t="shared" si="6"/>
        <v>747555394.79305995</v>
      </c>
      <c r="AT26" s="200">
        <v>698512101.14532006</v>
      </c>
      <c r="AU26" s="200">
        <v>0</v>
      </c>
      <c r="AV26" s="200">
        <v>0</v>
      </c>
      <c r="AW26" s="200">
        <v>0</v>
      </c>
      <c r="AX26" s="200">
        <v>49043293.647744</v>
      </c>
      <c r="AY26" s="200">
        <v>0</v>
      </c>
      <c r="AZ26" s="203">
        <f t="shared" si="7"/>
        <v>988508507.12109995</v>
      </c>
      <c r="BA26" s="200">
        <v>600975617.67059207</v>
      </c>
      <c r="BB26" s="200">
        <v>269608234.42396003</v>
      </c>
      <c r="BC26" s="200">
        <v>0</v>
      </c>
      <c r="BD26" s="200">
        <v>32484677.147072002</v>
      </c>
      <c r="BE26" s="200">
        <v>33095287.659792002</v>
      </c>
      <c r="BF26" s="200">
        <v>52344690.219680004</v>
      </c>
      <c r="BG26" s="200">
        <v>0</v>
      </c>
      <c r="BH26" s="200">
        <v>0</v>
      </c>
      <c r="BI26" s="200">
        <v>0</v>
      </c>
      <c r="BJ26" s="203">
        <f t="shared" si="8"/>
        <v>1736063901.91416</v>
      </c>
      <c r="BK26" s="203">
        <f t="shared" si="9"/>
        <v>-116995849.28628001</v>
      </c>
      <c r="BL26" s="203">
        <f>$BO$9+SUMPRODUCT($D$10:D26,$BK$10:BK26)</f>
        <v>789455490.71538377</v>
      </c>
      <c r="BM26" s="202">
        <f t="shared" si="10"/>
        <v>5.85</v>
      </c>
      <c r="BN26" s="203">
        <f t="shared" si="13"/>
        <v>121158827.91265</v>
      </c>
      <c r="BO26" s="204">
        <f t="shared" si="11"/>
        <v>2075254054.0562501</v>
      </c>
      <c r="BP26" s="201">
        <f t="shared" si="14"/>
        <v>660785269.26496971</v>
      </c>
      <c r="BQ26" s="201">
        <f t="shared" si="15"/>
        <v>10902956942.872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165">
        <f t="shared" ref="A27:B42" si="17">A26+1</f>
        <v>18</v>
      </c>
      <c r="B27" s="166">
        <f t="shared" si="17"/>
        <v>2037</v>
      </c>
      <c r="C27" s="29">
        <v>5.85</v>
      </c>
      <c r="D27" s="164">
        <f t="shared" si="16"/>
        <v>0.3594</v>
      </c>
      <c r="E27" s="200">
        <v>534580879.75999999</v>
      </c>
      <c r="F27" s="203">
        <f t="shared" si="0"/>
        <v>18749118.852820002</v>
      </c>
      <c r="G27" s="200">
        <v>18749118.852816001</v>
      </c>
      <c r="H27" s="200">
        <v>0</v>
      </c>
      <c r="I27" s="200">
        <v>0</v>
      </c>
      <c r="J27" s="200">
        <v>0</v>
      </c>
      <c r="K27" s="200">
        <v>2983980.11736</v>
      </c>
      <c r="L27" s="200">
        <v>17294663.629118212</v>
      </c>
      <c r="M27" s="203">
        <f t="shared" si="1"/>
        <v>148846655.03600001</v>
      </c>
      <c r="N27" s="200">
        <v>148846655.03599998</v>
      </c>
      <c r="O27" s="200">
        <v>0</v>
      </c>
      <c r="P27" s="200">
        <v>0</v>
      </c>
      <c r="Q27" s="200">
        <v>0</v>
      </c>
      <c r="R27" s="200">
        <v>0</v>
      </c>
      <c r="S27" s="200">
        <v>0</v>
      </c>
      <c r="T27" s="200">
        <v>0</v>
      </c>
      <c r="U27" s="203">
        <f t="shared" si="2"/>
        <v>74841323.1664</v>
      </c>
      <c r="V27" s="200">
        <v>74841323.1664</v>
      </c>
      <c r="W27" s="200">
        <v>0</v>
      </c>
      <c r="X27" s="200">
        <v>0</v>
      </c>
      <c r="Y27" s="200">
        <v>0</v>
      </c>
      <c r="Z27" s="200">
        <v>0</v>
      </c>
      <c r="AA27" s="200">
        <v>0</v>
      </c>
      <c r="AB27" s="200">
        <v>0</v>
      </c>
      <c r="AC27" s="203">
        <f t="shared" si="3"/>
        <v>25489901.416060001</v>
      </c>
      <c r="AD27" s="200">
        <v>21542626.203383997</v>
      </c>
      <c r="AE27" s="200">
        <v>3354100.167264</v>
      </c>
      <c r="AF27" s="200">
        <v>0</v>
      </c>
      <c r="AG27" s="200">
        <v>593175.04540800001</v>
      </c>
      <c r="AH27" s="203">
        <f t="shared" si="4"/>
        <v>1977009.5785399999</v>
      </c>
      <c r="AI27" s="200">
        <v>1460139.9513360001</v>
      </c>
      <c r="AJ27" s="200">
        <v>0</v>
      </c>
      <c r="AK27" s="200">
        <v>0</v>
      </c>
      <c r="AL27" s="200">
        <v>46622.849592000006</v>
      </c>
      <c r="AM27" s="200">
        <v>470246.77761599998</v>
      </c>
      <c r="AN27" s="200">
        <v>100105677.66219521</v>
      </c>
      <c r="AO27" s="200">
        <v>1216351245.6500001</v>
      </c>
      <c r="AP27" s="200">
        <v>0</v>
      </c>
      <c r="AQ27" s="200">
        <v>0</v>
      </c>
      <c r="AR27" s="203">
        <f t="shared" si="5"/>
        <v>1606639575.10849</v>
      </c>
      <c r="AS27" s="203">
        <f t="shared" si="6"/>
        <v>709155279.50335002</v>
      </c>
      <c r="AT27" s="200">
        <v>663332433.46788001</v>
      </c>
      <c r="AU27" s="200">
        <v>0</v>
      </c>
      <c r="AV27" s="200">
        <v>0</v>
      </c>
      <c r="AW27" s="200">
        <v>0</v>
      </c>
      <c r="AX27" s="200">
        <v>45822846.035471998</v>
      </c>
      <c r="AY27" s="200">
        <v>0</v>
      </c>
      <c r="AZ27" s="203">
        <f t="shared" si="7"/>
        <v>1001056776.62195</v>
      </c>
      <c r="BA27" s="200">
        <v>603306259.24554396</v>
      </c>
      <c r="BB27" s="200">
        <v>275498139.82291996</v>
      </c>
      <c r="BC27" s="200">
        <v>0</v>
      </c>
      <c r="BD27" s="200">
        <v>32950528.003392003</v>
      </c>
      <c r="BE27" s="200">
        <v>32596807.657359999</v>
      </c>
      <c r="BF27" s="200">
        <v>56705041.892736003</v>
      </c>
      <c r="BG27" s="200">
        <v>0</v>
      </c>
      <c r="BH27" s="200">
        <v>0</v>
      </c>
      <c r="BI27" s="200">
        <v>0</v>
      </c>
      <c r="BJ27" s="203">
        <f t="shared" si="8"/>
        <v>1710212056.1252999</v>
      </c>
      <c r="BK27" s="203">
        <f t="shared" si="9"/>
        <v>-103572481.01681</v>
      </c>
      <c r="BL27" s="203">
        <f>$BO$9+SUMPRODUCT($D$10:D27,$BK$10:BK27)</f>
        <v>752231541.03794217</v>
      </c>
      <c r="BM27" s="202">
        <f t="shared" si="10"/>
        <v>5.85</v>
      </c>
      <c r="BN27" s="203">
        <f t="shared" si="13"/>
        <v>121402362.16229001</v>
      </c>
      <c r="BO27" s="204">
        <f t="shared" si="11"/>
        <v>2093083935.20173</v>
      </c>
      <c r="BP27" s="201">
        <f t="shared" si="14"/>
        <v>615264976.09281898</v>
      </c>
      <c r="BQ27" s="201">
        <f t="shared" si="15"/>
        <v>10767137081.624332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>
      <c r="A28" s="165">
        <f t="shared" si="17"/>
        <v>19</v>
      </c>
      <c r="B28" s="166">
        <f t="shared" si="17"/>
        <v>2038</v>
      </c>
      <c r="C28" s="29">
        <v>5.85</v>
      </c>
      <c r="D28" s="164">
        <f t="shared" si="16"/>
        <v>0.33954000000000001</v>
      </c>
      <c r="E28" s="200">
        <v>486760115.46999997</v>
      </c>
      <c r="F28" s="203">
        <f t="shared" si="0"/>
        <v>17617524.76097</v>
      </c>
      <c r="G28" s="200">
        <v>17617524.760968003</v>
      </c>
      <c r="H28" s="200">
        <v>0</v>
      </c>
      <c r="I28" s="200">
        <v>0</v>
      </c>
      <c r="J28" s="200">
        <v>0</v>
      </c>
      <c r="K28" s="200">
        <v>2845229.789688</v>
      </c>
      <c r="L28" s="200">
        <v>15409886.145288851</v>
      </c>
      <c r="M28" s="203">
        <f t="shared" si="1"/>
        <v>135478912.13710001</v>
      </c>
      <c r="N28" s="200">
        <v>135478912.13710001</v>
      </c>
      <c r="O28" s="200">
        <v>0</v>
      </c>
      <c r="P28" s="200">
        <v>0</v>
      </c>
      <c r="Q28" s="200">
        <v>0</v>
      </c>
      <c r="R28" s="200">
        <v>0</v>
      </c>
      <c r="S28" s="200">
        <v>0</v>
      </c>
      <c r="T28" s="200">
        <v>0</v>
      </c>
      <c r="U28" s="203">
        <f t="shared" si="2"/>
        <v>68146416.165800005</v>
      </c>
      <c r="V28" s="200">
        <v>68146416.165800005</v>
      </c>
      <c r="W28" s="200">
        <v>0</v>
      </c>
      <c r="X28" s="200">
        <v>0</v>
      </c>
      <c r="Y28" s="200">
        <v>0</v>
      </c>
      <c r="Z28" s="200">
        <v>0</v>
      </c>
      <c r="AA28" s="200">
        <v>0</v>
      </c>
      <c r="AB28" s="200">
        <v>0</v>
      </c>
      <c r="AC28" s="203">
        <f t="shared" si="3"/>
        <v>24942648.805799998</v>
      </c>
      <c r="AD28" s="200">
        <v>21058784.352671999</v>
      </c>
      <c r="AE28" s="200">
        <v>3300189.637536</v>
      </c>
      <c r="AF28" s="200">
        <v>0</v>
      </c>
      <c r="AG28" s="200">
        <v>583674.81559199991</v>
      </c>
      <c r="AH28" s="203">
        <f t="shared" si="4"/>
        <v>2037642.5435500001</v>
      </c>
      <c r="AI28" s="200">
        <v>1539486.7340160001</v>
      </c>
      <c r="AJ28" s="200">
        <v>0</v>
      </c>
      <c r="AK28" s="200">
        <v>0</v>
      </c>
      <c r="AL28" s="200">
        <v>49328.976311999999</v>
      </c>
      <c r="AM28" s="200">
        <v>448826.833224</v>
      </c>
      <c r="AN28" s="200">
        <v>100821936.03388721</v>
      </c>
      <c r="AO28" s="200">
        <v>1228514758.1099999</v>
      </c>
      <c r="AP28" s="200">
        <v>0</v>
      </c>
      <c r="AQ28" s="200">
        <v>0</v>
      </c>
      <c r="AR28" s="203">
        <f t="shared" si="5"/>
        <v>1595814954.49208</v>
      </c>
      <c r="AS28" s="203">
        <f t="shared" si="6"/>
        <v>670394613.66821003</v>
      </c>
      <c r="AT28" s="200">
        <v>627671389.95923996</v>
      </c>
      <c r="AU28" s="200">
        <v>0</v>
      </c>
      <c r="AV28" s="200">
        <v>0</v>
      </c>
      <c r="AW28" s="200">
        <v>0</v>
      </c>
      <c r="AX28" s="200">
        <v>42723223.708967999</v>
      </c>
      <c r="AY28" s="200">
        <v>0</v>
      </c>
      <c r="AZ28" s="203">
        <f t="shared" si="7"/>
        <v>1008219360.33887</v>
      </c>
      <c r="BA28" s="200">
        <v>602369645.36129606</v>
      </c>
      <c r="BB28" s="200">
        <v>279710646.71908808</v>
      </c>
      <c r="BC28" s="200">
        <v>0</v>
      </c>
      <c r="BD28" s="200">
        <v>33309870.006759997</v>
      </c>
      <c r="BE28" s="200">
        <v>31945183.388456002</v>
      </c>
      <c r="BF28" s="200">
        <v>60884014.863272004</v>
      </c>
      <c r="BG28" s="200">
        <v>0</v>
      </c>
      <c r="BH28" s="200">
        <v>0</v>
      </c>
      <c r="BI28" s="200">
        <v>0</v>
      </c>
      <c r="BJ28" s="203">
        <f t="shared" si="8"/>
        <v>1678613974.0070801</v>
      </c>
      <c r="BK28" s="203">
        <f t="shared" si="9"/>
        <v>-82799019.515000001</v>
      </c>
      <c r="BL28" s="203">
        <f>$BO$9+SUMPRODUCT($D$10:D28,$BK$10:BK28)</f>
        <v>724117961.95181918</v>
      </c>
      <c r="BM28" s="202">
        <f t="shared" si="10"/>
        <v>5.85</v>
      </c>
      <c r="BN28" s="203">
        <f t="shared" si="13"/>
        <v>122445410.2093</v>
      </c>
      <c r="BO28" s="204">
        <f t="shared" si="11"/>
        <v>2132730325.8960299</v>
      </c>
      <c r="BP28" s="201">
        <f t="shared" si="14"/>
        <v>570788734.71994495</v>
      </c>
      <c r="BQ28" s="201">
        <f t="shared" si="15"/>
        <v>10559591592.318981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>
      <c r="A29" s="165">
        <f t="shared" si="17"/>
        <v>20</v>
      </c>
      <c r="B29" s="166">
        <f t="shared" si="17"/>
        <v>2039</v>
      </c>
      <c r="C29" s="29">
        <v>5.85</v>
      </c>
      <c r="D29" s="164">
        <f t="shared" si="16"/>
        <v>0.32077</v>
      </c>
      <c r="E29" s="200">
        <v>431024088.55000001</v>
      </c>
      <c r="F29" s="203">
        <f t="shared" si="0"/>
        <v>16493920.64892</v>
      </c>
      <c r="G29" s="200">
        <v>16493920.648919998</v>
      </c>
      <c r="H29" s="200">
        <v>0</v>
      </c>
      <c r="I29" s="200">
        <v>0</v>
      </c>
      <c r="J29" s="200">
        <v>0</v>
      </c>
      <c r="K29" s="200">
        <v>2701418.0458319997</v>
      </c>
      <c r="L29" s="200">
        <v>13650005.999422694</v>
      </c>
      <c r="M29" s="203">
        <f t="shared" si="1"/>
        <v>119904202.33</v>
      </c>
      <c r="N29" s="200">
        <v>119904202.33000001</v>
      </c>
      <c r="O29" s="200">
        <v>0</v>
      </c>
      <c r="P29" s="200">
        <v>0</v>
      </c>
      <c r="Q29" s="200">
        <v>0</v>
      </c>
      <c r="R29" s="200">
        <v>0</v>
      </c>
      <c r="S29" s="200">
        <v>0</v>
      </c>
      <c r="T29" s="200">
        <v>0</v>
      </c>
      <c r="U29" s="203">
        <f t="shared" si="2"/>
        <v>60343372.397</v>
      </c>
      <c r="V29" s="200">
        <v>60343372.397000007</v>
      </c>
      <c r="W29" s="200">
        <v>0</v>
      </c>
      <c r="X29" s="200">
        <v>0</v>
      </c>
      <c r="Y29" s="200">
        <v>0</v>
      </c>
      <c r="Z29" s="200">
        <v>0</v>
      </c>
      <c r="AA29" s="200">
        <v>0</v>
      </c>
      <c r="AB29" s="200">
        <v>0</v>
      </c>
      <c r="AC29" s="203">
        <f t="shared" si="3"/>
        <v>24352281.32779</v>
      </c>
      <c r="AD29" s="200">
        <v>20537076.644832</v>
      </c>
      <c r="AE29" s="200">
        <v>3242583.8636399996</v>
      </c>
      <c r="AF29" s="200">
        <v>0</v>
      </c>
      <c r="AG29" s="200">
        <v>572620.81932000001</v>
      </c>
      <c r="AH29" s="203">
        <f t="shared" si="4"/>
        <v>2087470.1762600001</v>
      </c>
      <c r="AI29" s="200">
        <v>1608729.7416959999</v>
      </c>
      <c r="AJ29" s="200">
        <v>0</v>
      </c>
      <c r="AK29" s="200">
        <v>0</v>
      </c>
      <c r="AL29" s="200">
        <v>51694.590552000001</v>
      </c>
      <c r="AM29" s="200">
        <v>427045.84401599999</v>
      </c>
      <c r="AN29" s="200">
        <v>101580780.90816081</v>
      </c>
      <c r="AO29" s="200">
        <v>1240799905.6800001</v>
      </c>
      <c r="AP29" s="200">
        <v>0</v>
      </c>
      <c r="AQ29" s="200">
        <v>0</v>
      </c>
      <c r="AR29" s="203">
        <f t="shared" si="5"/>
        <v>1581913357.5133901</v>
      </c>
      <c r="AS29" s="203">
        <f t="shared" si="6"/>
        <v>631454389.76110005</v>
      </c>
      <c r="AT29" s="200">
        <v>591707439.666816</v>
      </c>
      <c r="AU29" s="200">
        <v>0</v>
      </c>
      <c r="AV29" s="200">
        <v>0</v>
      </c>
      <c r="AW29" s="200">
        <v>0</v>
      </c>
      <c r="AX29" s="200">
        <v>39746950.094280005</v>
      </c>
      <c r="AY29" s="200">
        <v>0</v>
      </c>
      <c r="AZ29" s="203">
        <f t="shared" si="7"/>
        <v>1015807809.08161</v>
      </c>
      <c r="BA29" s="200">
        <v>603077400.54907203</v>
      </c>
      <c r="BB29" s="200">
        <v>283228240.24540001</v>
      </c>
      <c r="BC29" s="200">
        <v>0</v>
      </c>
      <c r="BD29" s="200">
        <v>33537403.191895999</v>
      </c>
      <c r="BE29" s="200">
        <v>31100916.695423998</v>
      </c>
      <c r="BF29" s="200">
        <v>64863848.399815999</v>
      </c>
      <c r="BG29" s="200">
        <v>0</v>
      </c>
      <c r="BH29" s="200">
        <v>0</v>
      </c>
      <c r="BI29" s="200">
        <v>0</v>
      </c>
      <c r="BJ29" s="203">
        <f t="shared" si="8"/>
        <v>1647262198.84271</v>
      </c>
      <c r="BK29" s="203">
        <f t="shared" si="9"/>
        <v>-65348841.329319999</v>
      </c>
      <c r="BL29" s="203">
        <f>$BO$9+SUMPRODUCT($D$10:D29,$BK$10:BK29)</f>
        <v>703156014.11861324</v>
      </c>
      <c r="BM29" s="202">
        <f t="shared" si="10"/>
        <v>5.85</v>
      </c>
      <c r="BN29" s="203">
        <f t="shared" si="13"/>
        <v>124764724.06491999</v>
      </c>
      <c r="BO29" s="204">
        <f t="shared" si="11"/>
        <v>2192146208.6316299</v>
      </c>
      <c r="BP29" s="201">
        <f t="shared" si="14"/>
        <v>529445778.5302763</v>
      </c>
      <c r="BQ29" s="201">
        <f t="shared" si="15"/>
        <v>10324192681.340387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>
      <c r="A30" s="165">
        <f t="shared" si="17"/>
        <v>21</v>
      </c>
      <c r="B30" s="166">
        <f t="shared" si="17"/>
        <v>2040</v>
      </c>
      <c r="C30" s="29">
        <v>5.85</v>
      </c>
      <c r="D30" s="164">
        <f t="shared" si="16"/>
        <v>0.30303999999999998</v>
      </c>
      <c r="E30" s="200">
        <v>360108765.09999996</v>
      </c>
      <c r="F30" s="203">
        <f t="shared" si="0"/>
        <v>15382811.03964</v>
      </c>
      <c r="G30" s="200">
        <v>15382811.03964</v>
      </c>
      <c r="H30" s="200">
        <v>0</v>
      </c>
      <c r="I30" s="200">
        <v>0</v>
      </c>
      <c r="J30" s="200">
        <v>0</v>
      </c>
      <c r="K30" s="200">
        <v>2553528.6699120002</v>
      </c>
      <c r="L30" s="200">
        <v>12016080.278981917</v>
      </c>
      <c r="M30" s="203">
        <f t="shared" si="1"/>
        <v>100078143.0499</v>
      </c>
      <c r="N30" s="200">
        <v>100078143.0499</v>
      </c>
      <c r="O30" s="200">
        <v>0</v>
      </c>
      <c r="P30" s="200">
        <v>0</v>
      </c>
      <c r="Q30" s="200">
        <v>0</v>
      </c>
      <c r="R30" s="200">
        <v>0</v>
      </c>
      <c r="S30" s="200">
        <v>0</v>
      </c>
      <c r="T30" s="200">
        <v>0</v>
      </c>
      <c r="U30" s="203">
        <f t="shared" si="2"/>
        <v>50415227.114</v>
      </c>
      <c r="V30" s="200">
        <v>50415227.114</v>
      </c>
      <c r="W30" s="200">
        <v>0</v>
      </c>
      <c r="X30" s="200">
        <v>0</v>
      </c>
      <c r="Y30" s="200">
        <v>0</v>
      </c>
      <c r="Z30" s="200">
        <v>0</v>
      </c>
      <c r="AA30" s="200">
        <v>0</v>
      </c>
      <c r="AB30" s="200">
        <v>0</v>
      </c>
      <c r="AC30" s="203">
        <f t="shared" si="3"/>
        <v>23743026.679420002</v>
      </c>
      <c r="AD30" s="200">
        <v>19997500.334592</v>
      </c>
      <c r="AE30" s="200">
        <v>3185905.6492559998</v>
      </c>
      <c r="AF30" s="200">
        <v>0</v>
      </c>
      <c r="AG30" s="200">
        <v>559620.69556799997</v>
      </c>
      <c r="AH30" s="203">
        <f t="shared" si="4"/>
        <v>2125636.1942599998</v>
      </c>
      <c r="AI30" s="200">
        <v>1667406.1274639999</v>
      </c>
      <c r="AJ30" s="200">
        <v>0</v>
      </c>
      <c r="AK30" s="200">
        <v>0</v>
      </c>
      <c r="AL30" s="200">
        <v>53702.090376</v>
      </c>
      <c r="AM30" s="200">
        <v>404527.97642399999</v>
      </c>
      <c r="AN30" s="200">
        <v>102904825.13794641</v>
      </c>
      <c r="AO30" s="200">
        <v>1253207904.74</v>
      </c>
      <c r="AP30" s="200">
        <v>0</v>
      </c>
      <c r="AQ30" s="200">
        <v>0</v>
      </c>
      <c r="AR30" s="203">
        <f t="shared" si="5"/>
        <v>1562427182.9040599</v>
      </c>
      <c r="AS30" s="203">
        <f t="shared" si="6"/>
        <v>592518903.81262004</v>
      </c>
      <c r="AT30" s="200">
        <v>555623505.64089596</v>
      </c>
      <c r="AU30" s="200">
        <v>0</v>
      </c>
      <c r="AV30" s="200">
        <v>0</v>
      </c>
      <c r="AW30" s="200">
        <v>0</v>
      </c>
      <c r="AX30" s="200">
        <v>36895398.171719998</v>
      </c>
      <c r="AY30" s="200">
        <v>0</v>
      </c>
      <c r="AZ30" s="203">
        <f t="shared" si="7"/>
        <v>1029048251.37946</v>
      </c>
      <c r="BA30" s="200">
        <v>602494538.11240804</v>
      </c>
      <c r="BB30" s="200">
        <v>294290177.87789601</v>
      </c>
      <c r="BC30" s="200">
        <v>0</v>
      </c>
      <c r="BD30" s="200">
        <v>33594855.557592005</v>
      </c>
      <c r="BE30" s="200">
        <v>30029438.326776002</v>
      </c>
      <c r="BF30" s="200">
        <v>68639241.504792005</v>
      </c>
      <c r="BG30" s="200">
        <v>0</v>
      </c>
      <c r="BH30" s="200">
        <v>0</v>
      </c>
      <c r="BI30" s="200">
        <v>0</v>
      </c>
      <c r="BJ30" s="203">
        <f t="shared" si="8"/>
        <v>1621567155.19208</v>
      </c>
      <c r="BK30" s="203">
        <f t="shared" si="9"/>
        <v>-59139972.28802</v>
      </c>
      <c r="BL30" s="203">
        <f>$BO$9+SUMPRODUCT($D$10:D30,$BK$10:BK30)</f>
        <v>685234236.91645169</v>
      </c>
      <c r="BM30" s="202">
        <f t="shared" si="10"/>
        <v>5.85</v>
      </c>
      <c r="BN30" s="203">
        <f t="shared" si="13"/>
        <v>128240553.20495</v>
      </c>
      <c r="BO30" s="204">
        <f t="shared" si="11"/>
        <v>2261246789.5485601</v>
      </c>
      <c r="BP30" s="201">
        <f t="shared" si="14"/>
        <v>492698421.95327032</v>
      </c>
      <c r="BQ30" s="201">
        <f t="shared" si="15"/>
        <v>10100317650.042042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165">
        <f t="shared" si="17"/>
        <v>22</v>
      </c>
      <c r="B31" s="166">
        <f t="shared" si="17"/>
        <v>2041</v>
      </c>
      <c r="C31" s="29">
        <v>5.85</v>
      </c>
      <c r="D31" s="164">
        <f t="shared" si="16"/>
        <v>0.28628999999999999</v>
      </c>
      <c r="E31" s="200">
        <v>308642388.59999996</v>
      </c>
      <c r="F31" s="203">
        <f t="shared" si="0"/>
        <v>14288610.004419999</v>
      </c>
      <c r="G31" s="200">
        <v>14288610.004416</v>
      </c>
      <c r="H31" s="200">
        <v>0</v>
      </c>
      <c r="I31" s="200">
        <v>0</v>
      </c>
      <c r="J31" s="200">
        <v>0</v>
      </c>
      <c r="K31" s="200">
        <v>2402574.242112</v>
      </c>
      <c r="L31" s="200">
        <v>10508452.186902933</v>
      </c>
      <c r="M31" s="203">
        <f t="shared" si="1"/>
        <v>85711745.342700005</v>
      </c>
      <c r="N31" s="200">
        <v>85711745.342700005</v>
      </c>
      <c r="O31" s="200">
        <v>0</v>
      </c>
      <c r="P31" s="200">
        <v>0</v>
      </c>
      <c r="Q31" s="200">
        <v>0</v>
      </c>
      <c r="R31" s="200">
        <v>0</v>
      </c>
      <c r="S31" s="200">
        <v>0</v>
      </c>
      <c r="T31" s="200">
        <v>0</v>
      </c>
      <c r="U31" s="203">
        <f t="shared" si="2"/>
        <v>43209934.403999999</v>
      </c>
      <c r="V31" s="200">
        <v>43209934.403999999</v>
      </c>
      <c r="W31" s="200">
        <v>0</v>
      </c>
      <c r="X31" s="200">
        <v>0</v>
      </c>
      <c r="Y31" s="200">
        <v>0</v>
      </c>
      <c r="Z31" s="200">
        <v>0</v>
      </c>
      <c r="AA31" s="200">
        <v>0</v>
      </c>
      <c r="AB31" s="200">
        <v>0</v>
      </c>
      <c r="AC31" s="203">
        <f t="shared" si="3"/>
        <v>23031020.807780001</v>
      </c>
      <c r="AD31" s="200">
        <v>19365509.27916</v>
      </c>
      <c r="AE31" s="200">
        <v>3120364.3912320002</v>
      </c>
      <c r="AF31" s="200">
        <v>0</v>
      </c>
      <c r="AG31" s="200">
        <v>545147.13739199995</v>
      </c>
      <c r="AH31" s="203">
        <f t="shared" si="4"/>
        <v>2151783.85066</v>
      </c>
      <c r="AI31" s="200">
        <v>1714486.5883199999</v>
      </c>
      <c r="AJ31" s="200">
        <v>0</v>
      </c>
      <c r="AK31" s="200">
        <v>0</v>
      </c>
      <c r="AL31" s="200">
        <v>55327.641864000005</v>
      </c>
      <c r="AM31" s="200">
        <v>381969.62047199998</v>
      </c>
      <c r="AN31" s="200">
        <v>102996244.30602401</v>
      </c>
      <c r="AO31" s="200">
        <v>1265739983.79</v>
      </c>
      <c r="AP31" s="200">
        <v>0</v>
      </c>
      <c r="AQ31" s="200">
        <v>0</v>
      </c>
      <c r="AR31" s="203">
        <f t="shared" si="5"/>
        <v>1550040348.9346001</v>
      </c>
      <c r="AS31" s="203">
        <f t="shared" si="6"/>
        <v>553773115.05173004</v>
      </c>
      <c r="AT31" s="200">
        <v>519604373.55261594</v>
      </c>
      <c r="AU31" s="200">
        <v>0</v>
      </c>
      <c r="AV31" s="200">
        <v>0</v>
      </c>
      <c r="AW31" s="200">
        <v>0</v>
      </c>
      <c r="AX31" s="200">
        <v>34168741.499112003</v>
      </c>
      <c r="AY31" s="200">
        <v>0</v>
      </c>
      <c r="AZ31" s="203">
        <f t="shared" si="7"/>
        <v>1029962443.06024</v>
      </c>
      <c r="BA31" s="200">
        <v>599699213.01398396</v>
      </c>
      <c r="BB31" s="200">
        <v>295801293.91164804</v>
      </c>
      <c r="BC31" s="200">
        <v>0</v>
      </c>
      <c r="BD31" s="200">
        <v>33519890.839768</v>
      </c>
      <c r="BE31" s="200">
        <v>28802193.650192004</v>
      </c>
      <c r="BF31" s="200">
        <v>72139851.644647986</v>
      </c>
      <c r="BG31" s="200">
        <v>0</v>
      </c>
      <c r="BH31" s="200">
        <v>0</v>
      </c>
      <c r="BI31" s="200">
        <v>0</v>
      </c>
      <c r="BJ31" s="203">
        <f t="shared" si="8"/>
        <v>1583735558.1119699</v>
      </c>
      <c r="BK31" s="203">
        <f t="shared" si="9"/>
        <v>-33695209.177369997</v>
      </c>
      <c r="BL31" s="203">
        <f>$BO$9+SUMPRODUCT($D$10:D31,$BK$10:BK31)</f>
        <v>675587635.48106241</v>
      </c>
      <c r="BM31" s="202">
        <f t="shared" si="10"/>
        <v>5.85</v>
      </c>
      <c r="BN31" s="203">
        <f t="shared" si="13"/>
        <v>132282937.18859001</v>
      </c>
      <c r="BO31" s="204">
        <f t="shared" si="11"/>
        <v>2359834517.5597801</v>
      </c>
      <c r="BP31" s="201">
        <f t="shared" si="14"/>
        <v>454849840.713</v>
      </c>
      <c r="BQ31" s="201">
        <f t="shared" si="15"/>
        <v>9779271575.3295002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165">
        <f t="shared" si="17"/>
        <v>23</v>
      </c>
      <c r="B32" s="166">
        <f t="shared" si="17"/>
        <v>2042</v>
      </c>
      <c r="C32" s="29">
        <v>5.85</v>
      </c>
      <c r="D32" s="164">
        <f t="shared" si="16"/>
        <v>0.27046999999999999</v>
      </c>
      <c r="E32" s="200">
        <v>248517276.89999998</v>
      </c>
      <c r="F32" s="203">
        <f t="shared" si="0"/>
        <v>13215660.16162</v>
      </c>
      <c r="G32" s="200">
        <v>13215660.161615999</v>
      </c>
      <c r="H32" s="200">
        <v>0</v>
      </c>
      <c r="I32" s="200">
        <v>0</v>
      </c>
      <c r="J32" s="200">
        <v>0</v>
      </c>
      <c r="K32" s="200">
        <v>2249645.0372879999</v>
      </c>
      <c r="L32" s="200">
        <v>9126553.3460970242</v>
      </c>
      <c r="M32" s="203">
        <f t="shared" si="1"/>
        <v>68917613.773499995</v>
      </c>
      <c r="N32" s="200">
        <v>68917613.77350001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3">
        <f t="shared" si="2"/>
        <v>34792418.766000003</v>
      </c>
      <c r="V32" s="200">
        <v>34792418.766000003</v>
      </c>
      <c r="W32" s="200">
        <v>0</v>
      </c>
      <c r="X32" s="200">
        <v>0</v>
      </c>
      <c r="Y32" s="200">
        <v>0</v>
      </c>
      <c r="Z32" s="200">
        <v>0</v>
      </c>
      <c r="AA32" s="200">
        <v>0</v>
      </c>
      <c r="AB32" s="200">
        <v>0</v>
      </c>
      <c r="AC32" s="203">
        <f t="shared" si="3"/>
        <v>22308566.31168</v>
      </c>
      <c r="AD32" s="200">
        <v>18728789.583768003</v>
      </c>
      <c r="AE32" s="200">
        <v>3050658.6343199997</v>
      </c>
      <c r="AF32" s="200">
        <v>0</v>
      </c>
      <c r="AG32" s="200">
        <v>529118.09359199996</v>
      </c>
      <c r="AH32" s="203">
        <f t="shared" si="4"/>
        <v>2165319.9934100001</v>
      </c>
      <c r="AI32" s="200">
        <v>1749741.507888</v>
      </c>
      <c r="AJ32" s="200">
        <v>0</v>
      </c>
      <c r="AK32" s="200">
        <v>0</v>
      </c>
      <c r="AL32" s="200">
        <v>56560.412303999998</v>
      </c>
      <c r="AM32" s="200">
        <v>359018.07321599999</v>
      </c>
      <c r="AN32" s="200">
        <v>103355281.8547696</v>
      </c>
      <c r="AO32" s="200">
        <v>1278397383.6300001</v>
      </c>
      <c r="AP32" s="200">
        <v>0</v>
      </c>
      <c r="AQ32" s="200">
        <v>0</v>
      </c>
      <c r="AR32" s="203">
        <f t="shared" si="5"/>
        <v>1534528442.8743601</v>
      </c>
      <c r="AS32" s="203">
        <f t="shared" si="6"/>
        <v>515403745.97790998</v>
      </c>
      <c r="AT32" s="200">
        <v>483835723.83167994</v>
      </c>
      <c r="AU32" s="200">
        <v>0</v>
      </c>
      <c r="AV32" s="200">
        <v>0</v>
      </c>
      <c r="AW32" s="200">
        <v>0</v>
      </c>
      <c r="AX32" s="200">
        <v>31568022.146231998</v>
      </c>
      <c r="AY32" s="200">
        <v>0</v>
      </c>
      <c r="AZ32" s="203">
        <f t="shared" si="7"/>
        <v>1033552818.5477</v>
      </c>
      <c r="BA32" s="200">
        <v>595850359.08599198</v>
      </c>
      <c r="BB32" s="200">
        <v>301678012.88203198</v>
      </c>
      <c r="BC32" s="200">
        <v>0</v>
      </c>
      <c r="BD32" s="200">
        <v>33282724.754416004</v>
      </c>
      <c r="BE32" s="200">
        <v>27377836.0002</v>
      </c>
      <c r="BF32" s="200">
        <v>75363885.825056002</v>
      </c>
      <c r="BG32" s="200">
        <v>0</v>
      </c>
      <c r="BH32" s="200">
        <v>0</v>
      </c>
      <c r="BI32" s="200">
        <v>0</v>
      </c>
      <c r="BJ32" s="203">
        <f t="shared" si="8"/>
        <v>1548956564.52561</v>
      </c>
      <c r="BK32" s="203">
        <f t="shared" si="9"/>
        <v>-14428121.651249999</v>
      </c>
      <c r="BL32" s="203">
        <f>$BO$9+SUMPRODUCT($D$10:D32,$BK$10:BK32)</f>
        <v>671685261.41804886</v>
      </c>
      <c r="BM32" s="202">
        <f t="shared" si="10"/>
        <v>5.85</v>
      </c>
      <c r="BN32" s="203">
        <f t="shared" si="13"/>
        <v>138050319.27724999</v>
      </c>
      <c r="BO32" s="204">
        <f t="shared" si="11"/>
        <v>2483456715.18578</v>
      </c>
      <c r="BP32" s="201">
        <f t="shared" si="14"/>
        <v>420529823.98174936</v>
      </c>
      <c r="BQ32" s="201">
        <f t="shared" si="15"/>
        <v>9461921039.5893612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165">
        <f t="shared" si="17"/>
        <v>24</v>
      </c>
      <c r="B33" s="166">
        <f t="shared" si="17"/>
        <v>2043</v>
      </c>
      <c r="C33" s="29">
        <v>5.85</v>
      </c>
      <c r="D33" s="164">
        <f t="shared" si="16"/>
        <v>0.25552000000000002</v>
      </c>
      <c r="E33" s="200">
        <v>207200844.94</v>
      </c>
      <c r="F33" s="203">
        <f t="shared" si="0"/>
        <v>12168123.529060001</v>
      </c>
      <c r="G33" s="200">
        <v>12168123.529056</v>
      </c>
      <c r="H33" s="200">
        <v>0</v>
      </c>
      <c r="I33" s="200">
        <v>0</v>
      </c>
      <c r="J33" s="200">
        <v>0</v>
      </c>
      <c r="K33" s="200">
        <v>2095889.010336</v>
      </c>
      <c r="L33" s="200">
        <v>7868611.1608330598</v>
      </c>
      <c r="M33" s="203">
        <f t="shared" si="1"/>
        <v>57390180.903099999</v>
      </c>
      <c r="N33" s="200">
        <v>57390180.903100014</v>
      </c>
      <c r="O33" s="200">
        <v>0</v>
      </c>
      <c r="P33" s="200">
        <v>0</v>
      </c>
      <c r="Q33" s="200">
        <v>0</v>
      </c>
      <c r="R33" s="200">
        <v>0</v>
      </c>
      <c r="S33" s="200">
        <v>0</v>
      </c>
      <c r="T33" s="200">
        <v>0</v>
      </c>
      <c r="U33" s="203">
        <f t="shared" si="2"/>
        <v>29008118.2916</v>
      </c>
      <c r="V33" s="200">
        <v>29008118.291600004</v>
      </c>
      <c r="W33" s="200">
        <v>0</v>
      </c>
      <c r="X33" s="200">
        <v>0</v>
      </c>
      <c r="Y33" s="200">
        <v>0</v>
      </c>
      <c r="Z33" s="200">
        <v>0</v>
      </c>
      <c r="AA33" s="200">
        <v>0</v>
      </c>
      <c r="AB33" s="200">
        <v>0</v>
      </c>
      <c r="AC33" s="203">
        <f t="shared" si="3"/>
        <v>21523085.114259999</v>
      </c>
      <c r="AD33" s="200">
        <v>18034670.326728001</v>
      </c>
      <c r="AE33" s="200">
        <v>2976673.252872</v>
      </c>
      <c r="AF33" s="200">
        <v>0</v>
      </c>
      <c r="AG33" s="200">
        <v>511741.53465599997</v>
      </c>
      <c r="AH33" s="203">
        <f t="shared" si="4"/>
        <v>2165507.5292400001</v>
      </c>
      <c r="AI33" s="200">
        <v>1772784.493392</v>
      </c>
      <c r="AJ33" s="200">
        <v>0</v>
      </c>
      <c r="AK33" s="200">
        <v>0</v>
      </c>
      <c r="AL33" s="200">
        <v>57396.543335999995</v>
      </c>
      <c r="AM33" s="200">
        <v>335326.49251200003</v>
      </c>
      <c r="AN33" s="200">
        <v>102557016.44739041</v>
      </c>
      <c r="AO33" s="200">
        <v>1291181357.46</v>
      </c>
      <c r="AP33" s="200">
        <v>0</v>
      </c>
      <c r="AQ33" s="200">
        <v>0</v>
      </c>
      <c r="AR33" s="203">
        <f t="shared" si="5"/>
        <v>1525957889.4458201</v>
      </c>
      <c r="AS33" s="203">
        <f t="shared" si="6"/>
        <v>477596344.07839</v>
      </c>
      <c r="AT33" s="200">
        <v>448501523.776416</v>
      </c>
      <c r="AU33" s="200">
        <v>0</v>
      </c>
      <c r="AV33" s="200">
        <v>0</v>
      </c>
      <c r="AW33" s="200">
        <v>0</v>
      </c>
      <c r="AX33" s="200">
        <v>29094820.301975999</v>
      </c>
      <c r="AY33" s="200">
        <v>0</v>
      </c>
      <c r="AZ33" s="203">
        <f t="shared" si="7"/>
        <v>1025570164.4739</v>
      </c>
      <c r="BA33" s="200">
        <v>589220140.63601601</v>
      </c>
      <c r="BB33" s="200">
        <v>299341508.75788802</v>
      </c>
      <c r="BC33" s="200">
        <v>0</v>
      </c>
      <c r="BD33" s="200">
        <v>32927338.019504003</v>
      </c>
      <c r="BE33" s="200">
        <v>25836710.358624</v>
      </c>
      <c r="BF33" s="200">
        <v>78244466.701872006</v>
      </c>
      <c r="BG33" s="200">
        <v>0</v>
      </c>
      <c r="BH33" s="200">
        <v>0</v>
      </c>
      <c r="BI33" s="200">
        <v>0</v>
      </c>
      <c r="BJ33" s="203">
        <f t="shared" si="8"/>
        <v>1503166508.55229</v>
      </c>
      <c r="BK33" s="203">
        <f t="shared" si="9"/>
        <v>22791380.89353</v>
      </c>
      <c r="BL33" s="203">
        <f>$BO$9+SUMPRODUCT($D$10:D33,$BK$10:BK33)</f>
        <v>677508915.06396365</v>
      </c>
      <c r="BM33" s="202">
        <f t="shared" si="10"/>
        <v>5.85</v>
      </c>
      <c r="BN33" s="203">
        <f t="shared" si="13"/>
        <v>145282217.83837</v>
      </c>
      <c r="BO33" s="204">
        <f t="shared" si="11"/>
        <v>2651530313.9176798</v>
      </c>
      <c r="BP33" s="201">
        <f t="shared" si="14"/>
        <v>385732782.91832983</v>
      </c>
      <c r="BQ33" s="201">
        <f t="shared" si="15"/>
        <v>9064720398.5807514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165">
        <f t="shared" si="17"/>
        <v>25</v>
      </c>
      <c r="B34" s="166">
        <f t="shared" si="17"/>
        <v>2044</v>
      </c>
      <c r="C34" s="29">
        <v>5.85</v>
      </c>
      <c r="D34" s="164">
        <f t="shared" si="16"/>
        <v>0.2414</v>
      </c>
      <c r="E34" s="200">
        <v>165400339.56999999</v>
      </c>
      <c r="F34" s="203">
        <f t="shared" si="0"/>
        <v>11150029.48488</v>
      </c>
      <c r="G34" s="200">
        <v>11150029.48488</v>
      </c>
      <c r="H34" s="200">
        <v>0</v>
      </c>
      <c r="I34" s="200">
        <v>0</v>
      </c>
      <c r="J34" s="200">
        <v>0</v>
      </c>
      <c r="K34" s="200">
        <v>1942436.6412</v>
      </c>
      <c r="L34" s="200">
        <v>6731596.8304415969</v>
      </c>
      <c r="M34" s="203">
        <f t="shared" si="1"/>
        <v>45783945.549999997</v>
      </c>
      <c r="N34" s="200">
        <v>45783945.550000004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3">
        <f t="shared" si="2"/>
        <v>23156047.539799999</v>
      </c>
      <c r="V34" s="200">
        <v>23156047.539799999</v>
      </c>
      <c r="W34" s="200">
        <v>0</v>
      </c>
      <c r="X34" s="200">
        <v>0</v>
      </c>
      <c r="Y34" s="200">
        <v>0</v>
      </c>
      <c r="Z34" s="200">
        <v>0</v>
      </c>
      <c r="AA34" s="200">
        <v>0</v>
      </c>
      <c r="AB34" s="200">
        <v>0</v>
      </c>
      <c r="AC34" s="203">
        <f t="shared" si="3"/>
        <v>20662669.57418</v>
      </c>
      <c r="AD34" s="200">
        <v>17270890.978176001</v>
      </c>
      <c r="AE34" s="200">
        <v>2898327.9832320004</v>
      </c>
      <c r="AF34" s="200">
        <v>0</v>
      </c>
      <c r="AG34" s="200">
        <v>493450.61277599999</v>
      </c>
      <c r="AH34" s="203">
        <f t="shared" si="4"/>
        <v>2152578.59467</v>
      </c>
      <c r="AI34" s="200">
        <v>1783282.7490720002</v>
      </c>
      <c r="AJ34" s="200">
        <v>0</v>
      </c>
      <c r="AK34" s="200">
        <v>0</v>
      </c>
      <c r="AL34" s="200">
        <v>57828.288935999997</v>
      </c>
      <c r="AM34" s="200">
        <v>311467.55666399997</v>
      </c>
      <c r="AN34" s="200">
        <v>101634440.28018081</v>
      </c>
      <c r="AO34" s="200">
        <v>1304093171.04</v>
      </c>
      <c r="AP34" s="200">
        <v>0</v>
      </c>
      <c r="AQ34" s="200">
        <v>0</v>
      </c>
      <c r="AR34" s="203">
        <f t="shared" si="5"/>
        <v>1517306915.5353501</v>
      </c>
      <c r="AS34" s="203">
        <f t="shared" si="6"/>
        <v>440533500.43798</v>
      </c>
      <c r="AT34" s="200">
        <v>413783249.36651999</v>
      </c>
      <c r="AU34" s="200">
        <v>0</v>
      </c>
      <c r="AV34" s="200">
        <v>0</v>
      </c>
      <c r="AW34" s="200">
        <v>0</v>
      </c>
      <c r="AX34" s="200">
        <v>26750251.071456</v>
      </c>
      <c r="AY34" s="200">
        <v>0</v>
      </c>
      <c r="AZ34" s="203">
        <f t="shared" si="7"/>
        <v>1016344402.80181</v>
      </c>
      <c r="BA34" s="200">
        <v>582122200.42201602</v>
      </c>
      <c r="BB34" s="200">
        <v>296845825.95231998</v>
      </c>
      <c r="BC34" s="200">
        <v>0</v>
      </c>
      <c r="BD34" s="200">
        <v>32442851.369775999</v>
      </c>
      <c r="BE34" s="200">
        <v>24163597.750976</v>
      </c>
      <c r="BF34" s="200">
        <v>80769927.306720003</v>
      </c>
      <c r="BG34" s="200">
        <v>0</v>
      </c>
      <c r="BH34" s="200">
        <v>0</v>
      </c>
      <c r="BI34" s="200">
        <v>0</v>
      </c>
      <c r="BJ34" s="203">
        <f t="shared" si="8"/>
        <v>1456877903.23979</v>
      </c>
      <c r="BK34" s="203">
        <f t="shared" si="9"/>
        <v>60429012.295560002</v>
      </c>
      <c r="BL34" s="203">
        <f>$BO$9+SUMPRODUCT($D$10:D34,$BK$10:BK34)</f>
        <v>692096478.63211179</v>
      </c>
      <c r="BM34" s="202">
        <f t="shared" si="10"/>
        <v>5.85</v>
      </c>
      <c r="BN34" s="203">
        <f t="shared" si="13"/>
        <v>155114523.36418</v>
      </c>
      <c r="BO34" s="204">
        <f t="shared" si="11"/>
        <v>2867073849.5774202</v>
      </c>
      <c r="BP34" s="201">
        <f t="shared" si="14"/>
        <v>353388249.90689325</v>
      </c>
      <c r="BQ34" s="201">
        <f t="shared" si="15"/>
        <v>8658012122.7188854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165">
        <f t="shared" si="17"/>
        <v>26</v>
      </c>
      <c r="B35" s="166">
        <f t="shared" si="17"/>
        <v>2045</v>
      </c>
      <c r="C35" s="29">
        <v>5.85</v>
      </c>
      <c r="D35" s="164">
        <f t="shared" si="16"/>
        <v>0.22806000000000001</v>
      </c>
      <c r="E35" s="200">
        <v>115560265.12</v>
      </c>
      <c r="F35" s="203">
        <f t="shared" si="0"/>
        <v>10165272.6186</v>
      </c>
      <c r="G35" s="200">
        <v>10165272.6186</v>
      </c>
      <c r="H35" s="200">
        <v>0</v>
      </c>
      <c r="I35" s="200">
        <v>0</v>
      </c>
      <c r="J35" s="200">
        <v>0</v>
      </c>
      <c r="K35" s="200">
        <v>1790350.0631279997</v>
      </c>
      <c r="L35" s="200">
        <v>5711531.3393501518</v>
      </c>
      <c r="M35" s="203">
        <f t="shared" si="1"/>
        <v>31975806.204100002</v>
      </c>
      <c r="N35" s="200">
        <v>31975806.204100005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3">
        <f t="shared" si="2"/>
        <v>16178437.116800001</v>
      </c>
      <c r="V35" s="200">
        <v>16178437.116800003</v>
      </c>
      <c r="W35" s="200">
        <v>0</v>
      </c>
      <c r="X35" s="200">
        <v>0</v>
      </c>
      <c r="Y35" s="200">
        <v>0</v>
      </c>
      <c r="Z35" s="200">
        <v>0</v>
      </c>
      <c r="AA35" s="200">
        <v>0</v>
      </c>
      <c r="AB35" s="200">
        <v>0</v>
      </c>
      <c r="AC35" s="203">
        <f t="shared" si="3"/>
        <v>19824825.440110002</v>
      </c>
      <c r="AD35" s="200">
        <v>16535354.824824002</v>
      </c>
      <c r="AE35" s="200">
        <v>2815587.6703679999</v>
      </c>
      <c r="AF35" s="200">
        <v>0</v>
      </c>
      <c r="AG35" s="200">
        <v>473882.94492000004</v>
      </c>
      <c r="AH35" s="203">
        <f t="shared" si="4"/>
        <v>2124323.7169400002</v>
      </c>
      <c r="AI35" s="200">
        <v>1781578.7996160001</v>
      </c>
      <c r="AJ35" s="200">
        <v>0</v>
      </c>
      <c r="AK35" s="200">
        <v>0</v>
      </c>
      <c r="AL35" s="200">
        <v>57872.274240000006</v>
      </c>
      <c r="AM35" s="200">
        <v>284872.64308799995</v>
      </c>
      <c r="AN35" s="200">
        <v>100949010.59692001</v>
      </c>
      <c r="AO35" s="200">
        <v>1317134102.75</v>
      </c>
      <c r="AP35" s="200">
        <v>0</v>
      </c>
      <c r="AQ35" s="200">
        <v>0</v>
      </c>
      <c r="AR35" s="203">
        <f t="shared" si="5"/>
        <v>1505853659.8459499</v>
      </c>
      <c r="AS35" s="203">
        <f t="shared" si="6"/>
        <v>404391327.09544998</v>
      </c>
      <c r="AT35" s="200">
        <v>379857037.40265602</v>
      </c>
      <c r="AU35" s="200">
        <v>0</v>
      </c>
      <c r="AV35" s="200">
        <v>0</v>
      </c>
      <c r="AW35" s="200">
        <v>0</v>
      </c>
      <c r="AX35" s="200">
        <v>24534289.692792002</v>
      </c>
      <c r="AY35" s="200">
        <v>0</v>
      </c>
      <c r="AZ35" s="203">
        <f t="shared" si="7"/>
        <v>1009490105.9692</v>
      </c>
      <c r="BA35" s="200">
        <v>576342420.79752004</v>
      </c>
      <c r="BB35" s="200">
        <v>296082896.95270395</v>
      </c>
      <c r="BC35" s="200">
        <v>0</v>
      </c>
      <c r="BD35" s="200">
        <v>31798692.899376001</v>
      </c>
      <c r="BE35" s="200">
        <v>22321163.084616002</v>
      </c>
      <c r="BF35" s="200">
        <v>82944932.23498401</v>
      </c>
      <c r="BG35" s="200">
        <v>0</v>
      </c>
      <c r="BH35" s="200">
        <v>0</v>
      </c>
      <c r="BI35" s="200">
        <v>0</v>
      </c>
      <c r="BJ35" s="203">
        <f t="shared" si="8"/>
        <v>1413881433.0646501</v>
      </c>
      <c r="BK35" s="203">
        <f t="shared" si="9"/>
        <v>91972226.781299993</v>
      </c>
      <c r="BL35" s="203">
        <f>$BO$9+SUMPRODUCT($D$10:D35,$BK$10:BK35)</f>
        <v>713071664.67185497</v>
      </c>
      <c r="BM35" s="202">
        <f t="shared" si="10"/>
        <v>5.85</v>
      </c>
      <c r="BN35" s="203">
        <f t="shared" si="13"/>
        <v>167723820.20028001</v>
      </c>
      <c r="BO35" s="204">
        <f t="shared" si="11"/>
        <v>3126769896.559</v>
      </c>
      <c r="BP35" s="201">
        <f t="shared" si="14"/>
        <v>324203597.70910978</v>
      </c>
      <c r="BQ35" s="201">
        <f t="shared" si="15"/>
        <v>8267191741.5822992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165">
        <f t="shared" si="17"/>
        <v>27</v>
      </c>
      <c r="B36" s="166">
        <f t="shared" si="17"/>
        <v>2046</v>
      </c>
      <c r="C36" s="29">
        <v>5.85</v>
      </c>
      <c r="D36" s="164">
        <f t="shared" si="16"/>
        <v>0.21546000000000001</v>
      </c>
      <c r="E36" s="200">
        <v>88114217.989999995</v>
      </c>
      <c r="F36" s="203">
        <f t="shared" si="0"/>
        <v>9217605.6199900005</v>
      </c>
      <c r="G36" s="200">
        <v>9217605.6199919991</v>
      </c>
      <c r="H36" s="200">
        <v>0</v>
      </c>
      <c r="I36" s="200">
        <v>0</v>
      </c>
      <c r="J36" s="200">
        <v>0</v>
      </c>
      <c r="K36" s="200">
        <v>1640665.0455359998</v>
      </c>
      <c r="L36" s="200">
        <v>4803764.5587363327</v>
      </c>
      <c r="M36" s="203">
        <f t="shared" si="1"/>
        <v>24335908.4375</v>
      </c>
      <c r="N36" s="200">
        <v>24335908.4375</v>
      </c>
      <c r="O36" s="200">
        <v>0</v>
      </c>
      <c r="P36" s="200">
        <v>0</v>
      </c>
      <c r="Q36" s="200">
        <v>0</v>
      </c>
      <c r="R36" s="200">
        <v>0</v>
      </c>
      <c r="S36" s="200">
        <v>0</v>
      </c>
      <c r="T36" s="200">
        <v>0</v>
      </c>
      <c r="U36" s="203">
        <f t="shared" si="2"/>
        <v>12335990.5186</v>
      </c>
      <c r="V36" s="200">
        <v>12335990.5186</v>
      </c>
      <c r="W36" s="200">
        <v>0</v>
      </c>
      <c r="X36" s="200">
        <v>0</v>
      </c>
      <c r="Y36" s="200">
        <v>0</v>
      </c>
      <c r="Z36" s="200">
        <v>0</v>
      </c>
      <c r="AA36" s="200">
        <v>0</v>
      </c>
      <c r="AB36" s="200">
        <v>0</v>
      </c>
      <c r="AC36" s="203">
        <f t="shared" si="3"/>
        <v>18877892.418790001</v>
      </c>
      <c r="AD36" s="200">
        <v>15695586.082176</v>
      </c>
      <c r="AE36" s="200">
        <v>2728442.0285759997</v>
      </c>
      <c r="AF36" s="200">
        <v>0</v>
      </c>
      <c r="AG36" s="200">
        <v>453864.30803999997</v>
      </c>
      <c r="AH36" s="203">
        <f t="shared" si="4"/>
        <v>2084527.24392</v>
      </c>
      <c r="AI36" s="200">
        <v>1767529.5242879998</v>
      </c>
      <c r="AJ36" s="200">
        <v>0</v>
      </c>
      <c r="AK36" s="200">
        <v>0</v>
      </c>
      <c r="AL36" s="200">
        <v>57520.909511999998</v>
      </c>
      <c r="AM36" s="200">
        <v>259476.81012000001</v>
      </c>
      <c r="AN36" s="200">
        <v>98977812.753220797</v>
      </c>
      <c r="AO36" s="200">
        <v>1330305443.77</v>
      </c>
      <c r="AP36" s="200">
        <v>0</v>
      </c>
      <c r="AQ36" s="200">
        <v>0</v>
      </c>
      <c r="AR36" s="203">
        <f t="shared" si="5"/>
        <v>1502579610.3662901</v>
      </c>
      <c r="AS36" s="203">
        <f t="shared" si="6"/>
        <v>369338426.89074999</v>
      </c>
      <c r="AT36" s="200">
        <v>346892376.20373601</v>
      </c>
      <c r="AU36" s="200">
        <v>0</v>
      </c>
      <c r="AV36" s="200">
        <v>0</v>
      </c>
      <c r="AW36" s="200">
        <v>0</v>
      </c>
      <c r="AX36" s="200">
        <v>22446050.687016003</v>
      </c>
      <c r="AY36" s="200">
        <v>0</v>
      </c>
      <c r="AZ36" s="203">
        <f t="shared" si="7"/>
        <v>989778127.53220999</v>
      </c>
      <c r="BA36" s="200">
        <v>560222939.23111999</v>
      </c>
      <c r="BB36" s="200">
        <v>293367998.921152</v>
      </c>
      <c r="BC36" s="200">
        <v>0</v>
      </c>
      <c r="BD36" s="200">
        <v>31061610.644671999</v>
      </c>
      <c r="BE36" s="200">
        <v>20428717.970119998</v>
      </c>
      <c r="BF36" s="200">
        <v>84696860.765143991</v>
      </c>
      <c r="BG36" s="200">
        <v>0</v>
      </c>
      <c r="BH36" s="200">
        <v>0</v>
      </c>
      <c r="BI36" s="200">
        <v>0</v>
      </c>
      <c r="BJ36" s="203">
        <f t="shared" si="8"/>
        <v>1359116554.42296</v>
      </c>
      <c r="BK36" s="203">
        <f t="shared" si="9"/>
        <v>143463055.94332999</v>
      </c>
      <c r="BL36" s="203">
        <f>$BO$9+SUMPRODUCT($D$10:D36,$BK$10:BK36)</f>
        <v>743982214.70540476</v>
      </c>
      <c r="BM36" s="202">
        <f t="shared" si="10"/>
        <v>5.85</v>
      </c>
      <c r="BN36" s="203">
        <f t="shared" si="13"/>
        <v>182916038.94870001</v>
      </c>
      <c r="BO36" s="204">
        <f t="shared" si="11"/>
        <v>3453148991.4510298</v>
      </c>
      <c r="BP36" s="201">
        <f t="shared" si="14"/>
        <v>294575339.4699446</v>
      </c>
      <c r="BQ36" s="201">
        <f t="shared" si="15"/>
        <v>7806246495.9535322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165">
        <f t="shared" si="17"/>
        <v>28</v>
      </c>
      <c r="B37" s="166">
        <f t="shared" si="17"/>
        <v>2047</v>
      </c>
      <c r="C37" s="29">
        <v>5.85</v>
      </c>
      <c r="D37" s="164">
        <f t="shared" si="16"/>
        <v>0.20355000000000001</v>
      </c>
      <c r="E37" s="200">
        <v>63069516.700000003</v>
      </c>
      <c r="F37" s="203">
        <f t="shared" si="0"/>
        <v>8310572.5050499998</v>
      </c>
      <c r="G37" s="200">
        <v>8310572.5050479993</v>
      </c>
      <c r="H37" s="200">
        <v>0</v>
      </c>
      <c r="I37" s="200">
        <v>0</v>
      </c>
      <c r="J37" s="200">
        <v>0</v>
      </c>
      <c r="K37" s="200">
        <v>1494421.401792</v>
      </c>
      <c r="L37" s="200">
        <v>4003041.8201424596</v>
      </c>
      <c r="M37" s="203">
        <f t="shared" si="1"/>
        <v>17355558.774700001</v>
      </c>
      <c r="N37" s="200">
        <v>17355558.774700001</v>
      </c>
      <c r="O37" s="200">
        <v>0</v>
      </c>
      <c r="P37" s="200">
        <v>0</v>
      </c>
      <c r="Q37" s="200">
        <v>0</v>
      </c>
      <c r="R37" s="200">
        <v>0</v>
      </c>
      <c r="S37" s="200">
        <v>0</v>
      </c>
      <c r="T37" s="200">
        <v>0</v>
      </c>
      <c r="U37" s="203">
        <f t="shared" si="2"/>
        <v>8829732.3379999995</v>
      </c>
      <c r="V37" s="200">
        <v>8829732.3380000014</v>
      </c>
      <c r="W37" s="200">
        <v>0</v>
      </c>
      <c r="X37" s="200">
        <v>0</v>
      </c>
      <c r="Y37" s="200">
        <v>0</v>
      </c>
      <c r="Z37" s="200">
        <v>0</v>
      </c>
      <c r="AA37" s="200">
        <v>0</v>
      </c>
      <c r="AB37" s="200">
        <v>0</v>
      </c>
      <c r="AC37" s="203">
        <f t="shared" si="3"/>
        <v>17954833.766759999</v>
      </c>
      <c r="AD37" s="200">
        <v>14884846.594992001</v>
      </c>
      <c r="AE37" s="200">
        <v>2636920.8111839998</v>
      </c>
      <c r="AF37" s="200">
        <v>0</v>
      </c>
      <c r="AG37" s="200">
        <v>433066.36058400001</v>
      </c>
      <c r="AH37" s="203">
        <f t="shared" si="4"/>
        <v>2032314.6563299999</v>
      </c>
      <c r="AI37" s="200">
        <v>1741874.7904800002</v>
      </c>
      <c r="AJ37" s="200">
        <v>0</v>
      </c>
      <c r="AK37" s="200">
        <v>0</v>
      </c>
      <c r="AL37" s="200">
        <v>56803.645272000002</v>
      </c>
      <c r="AM37" s="200">
        <v>233636.22057600002</v>
      </c>
      <c r="AN37" s="200">
        <v>96707379.665948808</v>
      </c>
      <c r="AO37" s="200">
        <v>1343608498.21</v>
      </c>
      <c r="AP37" s="200">
        <v>0</v>
      </c>
      <c r="AQ37" s="200">
        <v>0</v>
      </c>
      <c r="AR37" s="203">
        <f t="shared" si="5"/>
        <v>1500296353.13872</v>
      </c>
      <c r="AS37" s="203">
        <f t="shared" si="6"/>
        <v>335533721.80416</v>
      </c>
      <c r="AT37" s="200">
        <v>315049610.28340799</v>
      </c>
      <c r="AU37" s="200">
        <v>0</v>
      </c>
      <c r="AV37" s="200">
        <v>0</v>
      </c>
      <c r="AW37" s="200">
        <v>0</v>
      </c>
      <c r="AX37" s="200">
        <v>20484111.520752002</v>
      </c>
      <c r="AY37" s="200">
        <v>0</v>
      </c>
      <c r="AZ37" s="203">
        <f t="shared" si="7"/>
        <v>967073796.65948999</v>
      </c>
      <c r="BA37" s="200">
        <v>544213274.97608805</v>
      </c>
      <c r="BB37" s="200">
        <v>288124839.44281596</v>
      </c>
      <c r="BC37" s="200">
        <v>0</v>
      </c>
      <c r="BD37" s="200">
        <v>30229578.941056002</v>
      </c>
      <c r="BE37" s="200">
        <v>18488294.988207996</v>
      </c>
      <c r="BF37" s="200">
        <v>86017808.311320007</v>
      </c>
      <c r="BG37" s="200">
        <v>0</v>
      </c>
      <c r="BH37" s="200">
        <v>0</v>
      </c>
      <c r="BI37" s="200">
        <v>0</v>
      </c>
      <c r="BJ37" s="203">
        <f t="shared" si="8"/>
        <v>1302607518.46365</v>
      </c>
      <c r="BK37" s="203">
        <f t="shared" si="9"/>
        <v>197688834.67506999</v>
      </c>
      <c r="BL37" s="203">
        <f>$BO$9+SUMPRODUCT($D$10:D37,$BK$10:BK37)</f>
        <v>784221777.00351524</v>
      </c>
      <c r="BM37" s="202">
        <f t="shared" si="10"/>
        <v>5.85</v>
      </c>
      <c r="BN37" s="203">
        <f t="shared" si="13"/>
        <v>202009215.99989</v>
      </c>
      <c r="BO37" s="204">
        <f t="shared" si="11"/>
        <v>3852847042.1259899</v>
      </c>
      <c r="BP37" s="201">
        <f t="shared" si="14"/>
        <v>266855591.67883384</v>
      </c>
      <c r="BQ37" s="201">
        <f t="shared" si="15"/>
        <v>7338528771.1679306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165">
        <f t="shared" si="17"/>
        <v>29</v>
      </c>
      <c r="B38" s="166">
        <f t="shared" si="17"/>
        <v>2048</v>
      </c>
      <c r="C38" s="29">
        <v>5.85</v>
      </c>
      <c r="D38" s="164">
        <f t="shared" si="16"/>
        <v>0.1923</v>
      </c>
      <c r="E38" s="200">
        <v>48927878.690000005</v>
      </c>
      <c r="F38" s="203">
        <f t="shared" si="0"/>
        <v>7447528.8552700002</v>
      </c>
      <c r="G38" s="200">
        <v>7447528.8552719997</v>
      </c>
      <c r="H38" s="200">
        <v>0</v>
      </c>
      <c r="I38" s="200">
        <v>0</v>
      </c>
      <c r="J38" s="200">
        <v>0</v>
      </c>
      <c r="K38" s="200">
        <v>1352636.40072</v>
      </c>
      <c r="L38" s="200">
        <v>3303374.7315419912</v>
      </c>
      <c r="M38" s="203">
        <f t="shared" si="1"/>
        <v>13441825.776799999</v>
      </c>
      <c r="N38" s="200">
        <v>13441825.776800003</v>
      </c>
      <c r="O38" s="200">
        <v>0</v>
      </c>
      <c r="P38" s="200">
        <v>0</v>
      </c>
      <c r="Q38" s="200">
        <v>0</v>
      </c>
      <c r="R38" s="200">
        <v>0</v>
      </c>
      <c r="S38" s="200">
        <v>0</v>
      </c>
      <c r="T38" s="200">
        <v>0</v>
      </c>
      <c r="U38" s="203">
        <f t="shared" si="2"/>
        <v>6849903.0165999997</v>
      </c>
      <c r="V38" s="200">
        <v>6849903.0166000016</v>
      </c>
      <c r="W38" s="200">
        <v>0</v>
      </c>
      <c r="X38" s="200">
        <v>0</v>
      </c>
      <c r="Y38" s="200">
        <v>0</v>
      </c>
      <c r="Z38" s="200">
        <v>0</v>
      </c>
      <c r="AA38" s="200">
        <v>0</v>
      </c>
      <c r="AB38" s="200">
        <v>0</v>
      </c>
      <c r="AC38" s="203">
        <f t="shared" si="3"/>
        <v>17000868.41059</v>
      </c>
      <c r="AD38" s="200">
        <v>14048192.476824</v>
      </c>
      <c r="AE38" s="200">
        <v>2541119.7738960003</v>
      </c>
      <c r="AF38" s="200">
        <v>0</v>
      </c>
      <c r="AG38" s="200">
        <v>411556.15987199999</v>
      </c>
      <c r="AH38" s="203">
        <f t="shared" si="4"/>
        <v>1968589.35742</v>
      </c>
      <c r="AI38" s="200">
        <v>1705179.950496</v>
      </c>
      <c r="AJ38" s="200">
        <v>0</v>
      </c>
      <c r="AK38" s="200">
        <v>0</v>
      </c>
      <c r="AL38" s="200">
        <v>55742.391144000001</v>
      </c>
      <c r="AM38" s="200">
        <v>207667.01577600001</v>
      </c>
      <c r="AN38" s="200">
        <v>93817927.387644008</v>
      </c>
      <c r="AO38" s="200">
        <v>1357044583.1900001</v>
      </c>
      <c r="AP38" s="200">
        <v>0</v>
      </c>
      <c r="AQ38" s="200">
        <v>0</v>
      </c>
      <c r="AR38" s="203">
        <f t="shared" si="5"/>
        <v>1502227237.12659</v>
      </c>
      <c r="AS38" s="203">
        <f t="shared" si="6"/>
        <v>303125417.70455998</v>
      </c>
      <c r="AT38" s="200">
        <v>284479071.36923999</v>
      </c>
      <c r="AU38" s="200">
        <v>0</v>
      </c>
      <c r="AV38" s="200">
        <v>0</v>
      </c>
      <c r="AW38" s="200">
        <v>0</v>
      </c>
      <c r="AX38" s="200">
        <v>18646346.33532</v>
      </c>
      <c r="AY38" s="200">
        <v>0</v>
      </c>
      <c r="AZ38" s="203">
        <f t="shared" si="7"/>
        <v>938179273.87644005</v>
      </c>
      <c r="BA38" s="200">
        <v>524910082.002536</v>
      </c>
      <c r="BB38" s="200">
        <v>280505297.088112</v>
      </c>
      <c r="BC38" s="200">
        <v>0</v>
      </c>
      <c r="BD38" s="200">
        <v>29323282.819848001</v>
      </c>
      <c r="BE38" s="200">
        <v>16563577.491920002</v>
      </c>
      <c r="BF38" s="200">
        <v>86877034.474023998</v>
      </c>
      <c r="BG38" s="200">
        <v>0</v>
      </c>
      <c r="BH38" s="200">
        <v>0</v>
      </c>
      <c r="BI38" s="200">
        <v>0</v>
      </c>
      <c r="BJ38" s="203">
        <f t="shared" si="8"/>
        <v>1241304691.5810001</v>
      </c>
      <c r="BK38" s="203">
        <f t="shared" si="9"/>
        <v>260922545.54559001</v>
      </c>
      <c r="BL38" s="203">
        <f>$BO$9+SUMPRODUCT($D$10:D38,$BK$10:BK38)</f>
        <v>834397182.51193213</v>
      </c>
      <c r="BM38" s="202">
        <f t="shared" si="10"/>
        <v>5.85</v>
      </c>
      <c r="BN38" s="203">
        <f t="shared" si="13"/>
        <v>225391551.96437001</v>
      </c>
      <c r="BO38" s="204">
        <f t="shared" si="11"/>
        <v>4339161139.6359501</v>
      </c>
      <c r="BP38" s="201">
        <f t="shared" si="14"/>
        <v>240351346.65259323</v>
      </c>
      <c r="BQ38" s="201">
        <f t="shared" si="15"/>
        <v>6850013379.5989065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165">
        <f t="shared" si="17"/>
        <v>30</v>
      </c>
      <c r="B39" s="166">
        <f t="shared" si="17"/>
        <v>2049</v>
      </c>
      <c r="C39" s="29">
        <v>5.85</v>
      </c>
      <c r="D39" s="164">
        <f t="shared" si="16"/>
        <v>0.18167</v>
      </c>
      <c r="E39" s="200">
        <v>35914762.200000003</v>
      </c>
      <c r="F39" s="203">
        <f t="shared" si="0"/>
        <v>6631434.9802799998</v>
      </c>
      <c r="G39" s="200">
        <v>6631434.9802799998</v>
      </c>
      <c r="H39" s="200">
        <v>0</v>
      </c>
      <c r="I39" s="200">
        <v>0</v>
      </c>
      <c r="J39" s="200">
        <v>0</v>
      </c>
      <c r="K39" s="200">
        <v>1216253.220864</v>
      </c>
      <c r="L39" s="200">
        <v>2698099.9498268766</v>
      </c>
      <c r="M39" s="203">
        <f t="shared" si="1"/>
        <v>9854718.7092000004</v>
      </c>
      <c r="N39" s="200">
        <v>9854718.7092000004</v>
      </c>
      <c r="O39" s="200">
        <v>0</v>
      </c>
      <c r="P39" s="200">
        <v>0</v>
      </c>
      <c r="Q39" s="200">
        <v>0</v>
      </c>
      <c r="R39" s="200">
        <v>0</v>
      </c>
      <c r="S39" s="200">
        <v>0</v>
      </c>
      <c r="T39" s="200">
        <v>0</v>
      </c>
      <c r="U39" s="203">
        <f t="shared" si="2"/>
        <v>5028066.7079999996</v>
      </c>
      <c r="V39" s="200">
        <v>5028066.7080000006</v>
      </c>
      <c r="W39" s="200">
        <v>0</v>
      </c>
      <c r="X39" s="200">
        <v>0</v>
      </c>
      <c r="Y39" s="200">
        <v>0</v>
      </c>
      <c r="Z39" s="200">
        <v>0</v>
      </c>
      <c r="AA39" s="200">
        <v>0</v>
      </c>
      <c r="AB39" s="200">
        <v>0</v>
      </c>
      <c r="AC39" s="203">
        <f t="shared" si="3"/>
        <v>16032401.35464</v>
      </c>
      <c r="AD39" s="200">
        <v>13201559.25264</v>
      </c>
      <c r="AE39" s="200">
        <v>2441214.8090880001</v>
      </c>
      <c r="AF39" s="200">
        <v>0</v>
      </c>
      <c r="AG39" s="200">
        <v>389627.29291200003</v>
      </c>
      <c r="AH39" s="203">
        <f t="shared" si="4"/>
        <v>1894794.3933600001</v>
      </c>
      <c r="AI39" s="200">
        <v>1658088.520176</v>
      </c>
      <c r="AJ39" s="200">
        <v>0</v>
      </c>
      <c r="AK39" s="200">
        <v>0</v>
      </c>
      <c r="AL39" s="200">
        <v>54352.385208</v>
      </c>
      <c r="AM39" s="200">
        <v>182353.487976</v>
      </c>
      <c r="AN39" s="200">
        <v>90778074.616327196</v>
      </c>
      <c r="AO39" s="200">
        <v>1370615029.03</v>
      </c>
      <c r="AP39" s="200">
        <v>0</v>
      </c>
      <c r="AQ39" s="200">
        <v>0</v>
      </c>
      <c r="AR39" s="203">
        <f t="shared" si="5"/>
        <v>1504748872.9625001</v>
      </c>
      <c r="AS39" s="203">
        <f t="shared" si="6"/>
        <v>272247913.81286001</v>
      </c>
      <c r="AT39" s="200">
        <v>255318140.25669599</v>
      </c>
      <c r="AU39" s="200">
        <v>0</v>
      </c>
      <c r="AV39" s="200">
        <v>0</v>
      </c>
      <c r="AW39" s="200">
        <v>0</v>
      </c>
      <c r="AX39" s="200">
        <v>16929773.556168001</v>
      </c>
      <c r="AY39" s="200">
        <v>0</v>
      </c>
      <c r="AZ39" s="203">
        <f t="shared" si="7"/>
        <v>907780746.16327</v>
      </c>
      <c r="BA39" s="200">
        <v>505015950.75665593</v>
      </c>
      <c r="BB39" s="200">
        <v>272465020.84060001</v>
      </c>
      <c r="BC39" s="200">
        <v>0</v>
      </c>
      <c r="BD39" s="200">
        <v>28351133.044968002</v>
      </c>
      <c r="BE39" s="200">
        <v>14683624.70992</v>
      </c>
      <c r="BF39" s="200">
        <v>87265016.811128005</v>
      </c>
      <c r="BG39" s="200">
        <v>0</v>
      </c>
      <c r="BH39" s="200">
        <v>0</v>
      </c>
      <c r="BI39" s="200">
        <v>0</v>
      </c>
      <c r="BJ39" s="203">
        <f t="shared" si="8"/>
        <v>1180028659.97613</v>
      </c>
      <c r="BK39" s="203">
        <f t="shared" si="9"/>
        <v>324720212.98637003</v>
      </c>
      <c r="BL39" s="203">
        <f>$BO$9+SUMPRODUCT($D$10:D39,$BK$10:BK39)</f>
        <v>893389103.60516596</v>
      </c>
      <c r="BM39" s="202">
        <f t="shared" si="10"/>
        <v>5.85</v>
      </c>
      <c r="BN39" s="203">
        <f t="shared" si="13"/>
        <v>253840926.66870001</v>
      </c>
      <c r="BO39" s="204">
        <f t="shared" si="11"/>
        <v>4917722279.2910204</v>
      </c>
      <c r="BP39" s="201">
        <f t="shared" si="14"/>
        <v>215962449.98638305</v>
      </c>
      <c r="BQ39" s="201">
        <f t="shared" si="15"/>
        <v>6370892274.5983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165">
        <f t="shared" si="17"/>
        <v>31</v>
      </c>
      <c r="B40" s="166">
        <f t="shared" si="17"/>
        <v>2050</v>
      </c>
      <c r="C40" s="29">
        <v>5.85</v>
      </c>
      <c r="D40" s="164">
        <f t="shared" si="16"/>
        <v>0.17163</v>
      </c>
      <c r="E40" s="200">
        <v>24028870.909999996</v>
      </c>
      <c r="F40" s="203">
        <f t="shared" si="0"/>
        <v>5864724.9679899998</v>
      </c>
      <c r="G40" s="200">
        <v>5864724.9679920003</v>
      </c>
      <c r="H40" s="200">
        <v>0</v>
      </c>
      <c r="I40" s="200">
        <v>0</v>
      </c>
      <c r="J40" s="200">
        <v>0</v>
      </c>
      <c r="K40" s="200">
        <v>1086148.5109199998</v>
      </c>
      <c r="L40" s="200">
        <v>2179872.3865095819</v>
      </c>
      <c r="M40" s="203">
        <f t="shared" si="1"/>
        <v>6586424.1142999995</v>
      </c>
      <c r="N40" s="200">
        <v>6586424.1142999995</v>
      </c>
      <c r="O40" s="200">
        <v>0</v>
      </c>
      <c r="P40" s="200">
        <v>0</v>
      </c>
      <c r="Q40" s="200">
        <v>0</v>
      </c>
      <c r="R40" s="200">
        <v>0</v>
      </c>
      <c r="S40" s="200">
        <v>0</v>
      </c>
      <c r="T40" s="200">
        <v>0</v>
      </c>
      <c r="U40" s="203">
        <f t="shared" si="2"/>
        <v>3364041.9273999999</v>
      </c>
      <c r="V40" s="200">
        <v>3364041.9273999999</v>
      </c>
      <c r="W40" s="200">
        <v>0</v>
      </c>
      <c r="X40" s="200">
        <v>0</v>
      </c>
      <c r="Y40" s="200">
        <v>0</v>
      </c>
      <c r="Z40" s="200">
        <v>0</v>
      </c>
      <c r="AA40" s="200">
        <v>0</v>
      </c>
      <c r="AB40" s="200">
        <v>0</v>
      </c>
      <c r="AC40" s="203">
        <f t="shared" si="3"/>
        <v>15061002.081839999</v>
      </c>
      <c r="AD40" s="200">
        <v>12356126.720784001</v>
      </c>
      <c r="AE40" s="200">
        <v>2337463.616136</v>
      </c>
      <c r="AF40" s="200">
        <v>0</v>
      </c>
      <c r="AG40" s="200">
        <v>367411.74492000003</v>
      </c>
      <c r="AH40" s="203">
        <f t="shared" si="4"/>
        <v>1811726.8525</v>
      </c>
      <c r="AI40" s="200">
        <v>1601435.038368</v>
      </c>
      <c r="AJ40" s="200">
        <v>0</v>
      </c>
      <c r="AK40" s="200">
        <v>0</v>
      </c>
      <c r="AL40" s="200">
        <v>52658.281896</v>
      </c>
      <c r="AM40" s="200">
        <v>157633.532232</v>
      </c>
      <c r="AN40" s="200">
        <v>87584180.790127203</v>
      </c>
      <c r="AO40" s="200">
        <v>1384321179.3199999</v>
      </c>
      <c r="AP40" s="200">
        <v>0</v>
      </c>
      <c r="AQ40" s="200">
        <v>0</v>
      </c>
      <c r="AR40" s="203">
        <f t="shared" si="5"/>
        <v>1507859300.9515901</v>
      </c>
      <c r="AS40" s="203">
        <f t="shared" si="6"/>
        <v>243018896.94667</v>
      </c>
      <c r="AT40" s="200">
        <v>227687748.58552802</v>
      </c>
      <c r="AU40" s="200">
        <v>0</v>
      </c>
      <c r="AV40" s="200">
        <v>0</v>
      </c>
      <c r="AW40" s="200">
        <v>0</v>
      </c>
      <c r="AX40" s="200">
        <v>15331148.361144001</v>
      </c>
      <c r="AY40" s="200">
        <v>0</v>
      </c>
      <c r="AZ40" s="203">
        <f t="shared" si="7"/>
        <v>875841807.90127003</v>
      </c>
      <c r="BA40" s="200">
        <v>484510770.39979994</v>
      </c>
      <c r="BB40" s="200">
        <v>263967794.07034403</v>
      </c>
      <c r="BC40" s="200">
        <v>0</v>
      </c>
      <c r="BD40" s="200">
        <v>27317125.386519998</v>
      </c>
      <c r="BE40" s="200">
        <v>12863598.834471999</v>
      </c>
      <c r="BF40" s="200">
        <v>87182519.210136011</v>
      </c>
      <c r="BG40" s="200">
        <v>0</v>
      </c>
      <c r="BH40" s="200">
        <v>0</v>
      </c>
      <c r="BI40" s="200">
        <v>0</v>
      </c>
      <c r="BJ40" s="203">
        <f t="shared" si="8"/>
        <v>1118860704.84794</v>
      </c>
      <c r="BK40" s="203">
        <f t="shared" si="9"/>
        <v>388998596.10364997</v>
      </c>
      <c r="BL40" s="203">
        <f>$BO$9+SUMPRODUCT($D$10:D40,$BK$10:BK40)</f>
        <v>960152932.6544354</v>
      </c>
      <c r="BM40" s="202">
        <f t="shared" si="10"/>
        <v>5.85</v>
      </c>
      <c r="BN40" s="203">
        <f t="shared" si="13"/>
        <v>287686753.33853</v>
      </c>
      <c r="BO40" s="204">
        <f t="shared" si="11"/>
        <v>5594407628.7332001</v>
      </c>
      <c r="BP40" s="201">
        <f t="shared" si="14"/>
        <v>193547732.73454511</v>
      </c>
      <c r="BQ40" s="201">
        <f t="shared" si="15"/>
        <v>5903205848.4036255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165">
        <f t="shared" si="17"/>
        <v>32</v>
      </c>
      <c r="B41" s="166">
        <f t="shared" si="17"/>
        <v>2051</v>
      </c>
      <c r="C41" s="29">
        <v>5.85</v>
      </c>
      <c r="D41" s="164">
        <f t="shared" si="16"/>
        <v>0.16214000000000001</v>
      </c>
      <c r="E41" s="200">
        <v>15314114.859999999</v>
      </c>
      <c r="F41" s="203">
        <f t="shared" si="0"/>
        <v>5149339.2706800001</v>
      </c>
      <c r="G41" s="200">
        <v>5149339.2706800001</v>
      </c>
      <c r="H41" s="200">
        <v>0</v>
      </c>
      <c r="I41" s="200">
        <v>0</v>
      </c>
      <c r="J41" s="200">
        <v>0</v>
      </c>
      <c r="K41" s="200">
        <v>963109.09305600007</v>
      </c>
      <c r="L41" s="200">
        <v>1740914.7206065583</v>
      </c>
      <c r="M41" s="203">
        <f t="shared" si="1"/>
        <v>4159368.514</v>
      </c>
      <c r="N41" s="200">
        <v>4159368.5140000004</v>
      </c>
      <c r="O41" s="200">
        <v>0</v>
      </c>
      <c r="P41" s="200">
        <v>0</v>
      </c>
      <c r="Q41" s="200">
        <v>0</v>
      </c>
      <c r="R41" s="200">
        <v>0</v>
      </c>
      <c r="S41" s="200">
        <v>0</v>
      </c>
      <c r="T41" s="200">
        <v>0</v>
      </c>
      <c r="U41" s="203">
        <f t="shared" si="2"/>
        <v>2143976.0803999999</v>
      </c>
      <c r="V41" s="200">
        <v>2143976.0804000003</v>
      </c>
      <c r="W41" s="200">
        <v>0</v>
      </c>
      <c r="X41" s="200">
        <v>0</v>
      </c>
      <c r="Y41" s="200">
        <v>0</v>
      </c>
      <c r="Z41" s="200">
        <v>0</v>
      </c>
      <c r="AA41" s="200">
        <v>0</v>
      </c>
      <c r="AB41" s="200">
        <v>0</v>
      </c>
      <c r="AC41" s="203">
        <f t="shared" si="3"/>
        <v>14067800.965150001</v>
      </c>
      <c r="AD41" s="200">
        <v>11492429.865311999</v>
      </c>
      <c r="AE41" s="200">
        <v>2230164.246024</v>
      </c>
      <c r="AF41" s="200">
        <v>0</v>
      </c>
      <c r="AG41" s="200">
        <v>345206.85381599999</v>
      </c>
      <c r="AH41" s="203">
        <f t="shared" si="4"/>
        <v>1721424.03682</v>
      </c>
      <c r="AI41" s="200">
        <v>1536017.6581199998</v>
      </c>
      <c r="AJ41" s="200">
        <v>0</v>
      </c>
      <c r="AK41" s="200">
        <v>0</v>
      </c>
      <c r="AL41" s="200">
        <v>50683.622088000004</v>
      </c>
      <c r="AM41" s="200">
        <v>134722.756608</v>
      </c>
      <c r="AN41" s="200">
        <v>84088403.112898409</v>
      </c>
      <c r="AO41" s="200">
        <v>1398164391.1099999</v>
      </c>
      <c r="AP41" s="200">
        <v>0</v>
      </c>
      <c r="AQ41" s="200">
        <v>0</v>
      </c>
      <c r="AR41" s="203">
        <f t="shared" si="5"/>
        <v>1512198726.90361</v>
      </c>
      <c r="AS41" s="203">
        <f t="shared" si="6"/>
        <v>215538501.45274001</v>
      </c>
      <c r="AT41" s="200">
        <v>201691363.065456</v>
      </c>
      <c r="AU41" s="200">
        <v>0</v>
      </c>
      <c r="AV41" s="200">
        <v>0</v>
      </c>
      <c r="AW41" s="200">
        <v>0</v>
      </c>
      <c r="AX41" s="200">
        <v>13847138.38728</v>
      </c>
      <c r="AY41" s="200">
        <v>0</v>
      </c>
      <c r="AZ41" s="203">
        <f t="shared" si="7"/>
        <v>840884031.12898004</v>
      </c>
      <c r="BA41" s="200">
        <v>461909401.97286391</v>
      </c>
      <c r="BB41" s="200">
        <v>254976389.558328</v>
      </c>
      <c r="BC41" s="200">
        <v>0</v>
      </c>
      <c r="BD41" s="200">
        <v>26238638.91784</v>
      </c>
      <c r="BE41" s="200">
        <v>11138271.498207999</v>
      </c>
      <c r="BF41" s="200">
        <v>86621329.181744009</v>
      </c>
      <c r="BG41" s="200">
        <v>0</v>
      </c>
      <c r="BH41" s="200">
        <v>0</v>
      </c>
      <c r="BI41" s="200">
        <v>0</v>
      </c>
      <c r="BJ41" s="203">
        <f t="shared" si="8"/>
        <v>1056422532.58172</v>
      </c>
      <c r="BK41" s="203">
        <f t="shared" si="9"/>
        <v>455776194.32189</v>
      </c>
      <c r="BL41" s="203">
        <f>$BO$9+SUMPRODUCT($D$10:D41,$BK$10:BK41)</f>
        <v>1034052484.8017867</v>
      </c>
      <c r="BM41" s="202">
        <f t="shared" si="10"/>
        <v>5.85</v>
      </c>
      <c r="BN41" s="203">
        <f t="shared" si="13"/>
        <v>327272846.28088999</v>
      </c>
      <c r="BO41" s="204">
        <f t="shared" si="11"/>
        <v>6377456669.3359804</v>
      </c>
      <c r="BP41" s="201">
        <f t="shared" si="14"/>
        <v>172735346.38037381</v>
      </c>
      <c r="BQ41" s="201">
        <f t="shared" si="15"/>
        <v>5441163410.9817753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165">
        <f t="shared" si="17"/>
        <v>33</v>
      </c>
      <c r="B42" s="166">
        <f t="shared" si="17"/>
        <v>2052</v>
      </c>
      <c r="C42" s="29">
        <v>5.85</v>
      </c>
      <c r="D42" s="164">
        <f t="shared" si="16"/>
        <v>0.15318000000000001</v>
      </c>
      <c r="E42" s="200">
        <v>9855740.0999999996</v>
      </c>
      <c r="F42" s="203">
        <f t="shared" ref="F42:F105" si="18">ROUND(SUM(G42:J42),5)</f>
        <v>4486597.6819000002</v>
      </c>
      <c r="G42" s="200">
        <v>4486597.6818960002</v>
      </c>
      <c r="H42" s="200">
        <v>0</v>
      </c>
      <c r="I42" s="200">
        <v>0</v>
      </c>
      <c r="J42" s="200">
        <v>0</v>
      </c>
      <c r="K42" s="200">
        <v>847813.74559199996</v>
      </c>
      <c r="L42" s="200">
        <v>1373536.1943030313</v>
      </c>
      <c r="M42" s="203">
        <f t="shared" si="1"/>
        <v>2648282.4723</v>
      </c>
      <c r="N42" s="200">
        <v>2648282.4723</v>
      </c>
      <c r="O42" s="200">
        <v>0</v>
      </c>
      <c r="P42" s="200">
        <v>0</v>
      </c>
      <c r="Q42" s="200">
        <v>0</v>
      </c>
      <c r="R42" s="200">
        <v>0</v>
      </c>
      <c r="S42" s="200">
        <v>0</v>
      </c>
      <c r="T42" s="200">
        <v>0</v>
      </c>
      <c r="U42" s="203">
        <f t="shared" si="2"/>
        <v>1379803.6140000001</v>
      </c>
      <c r="V42" s="200">
        <v>1379803.6140000001</v>
      </c>
      <c r="W42" s="200">
        <v>0</v>
      </c>
      <c r="X42" s="200">
        <v>0</v>
      </c>
      <c r="Y42" s="200">
        <v>0</v>
      </c>
      <c r="Z42" s="200">
        <v>0</v>
      </c>
      <c r="AA42" s="200">
        <v>0</v>
      </c>
      <c r="AB42" s="200">
        <v>0</v>
      </c>
      <c r="AC42" s="203">
        <f t="shared" si="3"/>
        <v>13096307.98793</v>
      </c>
      <c r="AD42" s="200">
        <v>10653713.097191999</v>
      </c>
      <c r="AE42" s="200">
        <v>2119683.2234160001</v>
      </c>
      <c r="AF42" s="200">
        <v>0</v>
      </c>
      <c r="AG42" s="200">
        <v>322911.66732000001</v>
      </c>
      <c r="AH42" s="203">
        <f t="shared" si="4"/>
        <v>1624852.9001800001</v>
      </c>
      <c r="AI42" s="200">
        <v>1463068.368432</v>
      </c>
      <c r="AJ42" s="200">
        <v>0</v>
      </c>
      <c r="AK42" s="200">
        <v>0</v>
      </c>
      <c r="AL42" s="200">
        <v>48468.952751999997</v>
      </c>
      <c r="AM42" s="200">
        <v>113315.578992</v>
      </c>
      <c r="AN42" s="200">
        <v>80384207.852143213</v>
      </c>
      <c r="AO42" s="200">
        <v>0</v>
      </c>
      <c r="AP42" s="200">
        <v>0</v>
      </c>
      <c r="AQ42" s="200">
        <v>0</v>
      </c>
      <c r="AR42" s="203">
        <f t="shared" si="5"/>
        <v>105841402.44835</v>
      </c>
      <c r="AS42" s="203">
        <f t="shared" si="6"/>
        <v>189885948.3019</v>
      </c>
      <c r="AT42" s="200">
        <v>177411636.7518</v>
      </c>
      <c r="AU42" s="200">
        <v>0</v>
      </c>
      <c r="AV42" s="200">
        <v>0</v>
      </c>
      <c r="AW42" s="200">
        <v>0</v>
      </c>
      <c r="AX42" s="200">
        <v>12474311.550096001</v>
      </c>
      <c r="AY42" s="200">
        <v>0</v>
      </c>
      <c r="AZ42" s="203">
        <f t="shared" si="7"/>
        <v>803842078.52143002</v>
      </c>
      <c r="BA42" s="200">
        <v>438094814.47187197</v>
      </c>
      <c r="BB42" s="200">
        <v>245503408.58477598</v>
      </c>
      <c r="BC42" s="200">
        <v>0</v>
      </c>
      <c r="BD42" s="200">
        <v>25122583.825759999</v>
      </c>
      <c r="BE42" s="200">
        <v>9531986.1219759993</v>
      </c>
      <c r="BF42" s="200">
        <v>85589285.517048001</v>
      </c>
      <c r="BG42" s="200">
        <v>0</v>
      </c>
      <c r="BH42" s="200">
        <v>0</v>
      </c>
      <c r="BI42" s="200">
        <v>0</v>
      </c>
      <c r="BJ42" s="203">
        <f t="shared" si="8"/>
        <v>993728026.82333004</v>
      </c>
      <c r="BK42" s="203">
        <f t="shared" si="9"/>
        <v>-887886624.37497997</v>
      </c>
      <c r="BL42" s="203">
        <f>$BO$9+SUMPRODUCT($D$10:D42,$BK$10:BK42)</f>
        <v>898046011.68002725</v>
      </c>
      <c r="BM42" s="202">
        <f t="shared" si="10"/>
        <v>5.85</v>
      </c>
      <c r="BN42" s="203">
        <f t="shared" si="13"/>
        <v>373081215.15616</v>
      </c>
      <c r="BO42" s="204">
        <f t="shared" si="11"/>
        <v>5862651260.1171598</v>
      </c>
      <c r="BP42" s="201">
        <f t="shared" si="14"/>
        <v>153581126.77168891</v>
      </c>
      <c r="BQ42" s="201">
        <f t="shared" si="15"/>
        <v>4991386620.0798893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165">
        <f t="shared" ref="A43:B58" si="19">A42+1</f>
        <v>34</v>
      </c>
      <c r="B43" s="166">
        <f t="shared" si="19"/>
        <v>2053</v>
      </c>
      <c r="C43" s="29">
        <v>5.85</v>
      </c>
      <c r="D43" s="164">
        <f t="shared" si="16"/>
        <v>0.14471000000000001</v>
      </c>
      <c r="E43" s="200">
        <v>7177136.2300000004</v>
      </c>
      <c r="F43" s="203">
        <f t="shared" si="18"/>
        <v>3877178.6576200002</v>
      </c>
      <c r="G43" s="200">
        <v>3877178.6576160002</v>
      </c>
      <c r="H43" s="200">
        <v>0</v>
      </c>
      <c r="I43" s="200">
        <v>0</v>
      </c>
      <c r="J43" s="200">
        <v>0</v>
      </c>
      <c r="K43" s="200">
        <v>740750.58525600005</v>
      </c>
      <c r="L43" s="200">
        <v>1070014.3459083524</v>
      </c>
      <c r="M43" s="203">
        <f t="shared" si="1"/>
        <v>1921355.0584</v>
      </c>
      <c r="N43" s="200">
        <v>1921355.0584000002</v>
      </c>
      <c r="O43" s="200">
        <v>0</v>
      </c>
      <c r="P43" s="200">
        <v>0</v>
      </c>
      <c r="Q43" s="200">
        <v>0</v>
      </c>
      <c r="R43" s="200">
        <v>0</v>
      </c>
      <c r="S43" s="200">
        <v>0</v>
      </c>
      <c r="T43" s="200">
        <v>0</v>
      </c>
      <c r="U43" s="203">
        <f t="shared" si="2"/>
        <v>1004799.0722000001</v>
      </c>
      <c r="V43" s="200">
        <v>1004799.0722000002</v>
      </c>
      <c r="W43" s="200">
        <v>0</v>
      </c>
      <c r="X43" s="200">
        <v>0</v>
      </c>
      <c r="Y43" s="200">
        <v>0</v>
      </c>
      <c r="Z43" s="200">
        <v>0</v>
      </c>
      <c r="AA43" s="200">
        <v>0</v>
      </c>
      <c r="AB43" s="200">
        <v>0</v>
      </c>
      <c r="AC43" s="203">
        <f t="shared" si="3"/>
        <v>12126035.54184</v>
      </c>
      <c r="AD43" s="200">
        <v>9818777.375351999</v>
      </c>
      <c r="AE43" s="200">
        <v>2006461.3293120002</v>
      </c>
      <c r="AF43" s="200">
        <v>0</v>
      </c>
      <c r="AG43" s="200">
        <v>300796.837176</v>
      </c>
      <c r="AH43" s="203">
        <f t="shared" si="4"/>
        <v>1523790.00734</v>
      </c>
      <c r="AI43" s="200">
        <v>1383691.7054399999</v>
      </c>
      <c r="AJ43" s="200">
        <v>0</v>
      </c>
      <c r="AK43" s="200">
        <v>0</v>
      </c>
      <c r="AL43" s="200">
        <v>46044.837959999997</v>
      </c>
      <c r="AM43" s="200">
        <v>94053.463944000003</v>
      </c>
      <c r="AN43" s="200">
        <v>76515282.486324817</v>
      </c>
      <c r="AO43" s="200">
        <v>0</v>
      </c>
      <c r="AP43" s="200">
        <v>0</v>
      </c>
      <c r="AQ43" s="200">
        <v>0</v>
      </c>
      <c r="AR43" s="203">
        <f t="shared" si="5"/>
        <v>98779205.754889995</v>
      </c>
      <c r="AS43" s="203">
        <f t="shared" si="6"/>
        <v>166115985.55173999</v>
      </c>
      <c r="AT43" s="200">
        <v>154907528.13016802</v>
      </c>
      <c r="AU43" s="200">
        <v>0</v>
      </c>
      <c r="AV43" s="200">
        <v>0</v>
      </c>
      <c r="AW43" s="200">
        <v>0</v>
      </c>
      <c r="AX43" s="200">
        <v>11208457.421568001</v>
      </c>
      <c r="AY43" s="200">
        <v>0</v>
      </c>
      <c r="AZ43" s="203">
        <f t="shared" si="7"/>
        <v>765152824.86325002</v>
      </c>
      <c r="BA43" s="200">
        <v>413312483.63472003</v>
      </c>
      <c r="BB43" s="200">
        <v>235691849.75503999</v>
      </c>
      <c r="BC43" s="200">
        <v>0</v>
      </c>
      <c r="BD43" s="200">
        <v>23980502.143952001</v>
      </c>
      <c r="BE43" s="200">
        <v>8070188.0933519993</v>
      </c>
      <c r="BF43" s="200">
        <v>84097801.236184001</v>
      </c>
      <c r="BG43" s="200">
        <v>0</v>
      </c>
      <c r="BH43" s="200">
        <v>0</v>
      </c>
      <c r="BI43" s="200">
        <v>0</v>
      </c>
      <c r="BJ43" s="203">
        <f t="shared" si="8"/>
        <v>931268810.41498995</v>
      </c>
      <c r="BK43" s="203">
        <f t="shared" si="9"/>
        <v>-832489604.66009998</v>
      </c>
      <c r="BL43" s="203">
        <f>$BO$9+SUMPRODUCT($D$10:D43,$BK$10:BK43)</f>
        <v>777576440.98966408</v>
      </c>
      <c r="BM43" s="202">
        <f t="shared" si="10"/>
        <v>5.85</v>
      </c>
      <c r="BN43" s="203">
        <f t="shared" si="13"/>
        <v>342965098.71684998</v>
      </c>
      <c r="BO43" s="204">
        <f t="shared" si="11"/>
        <v>5373126754.1739101</v>
      </c>
      <c r="BP43" s="201">
        <f t="shared" si="14"/>
        <v>136044067.01911077</v>
      </c>
      <c r="BQ43" s="201">
        <f t="shared" si="15"/>
        <v>4557476245.1402111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165">
        <f t="shared" si="19"/>
        <v>35</v>
      </c>
      <c r="B44" s="166">
        <f t="shared" si="19"/>
        <v>2054</v>
      </c>
      <c r="C44" s="29">
        <v>5.85</v>
      </c>
      <c r="D44" s="164">
        <f t="shared" si="16"/>
        <v>0.13671</v>
      </c>
      <c r="E44" s="200">
        <v>5446038.9900000002</v>
      </c>
      <c r="F44" s="203">
        <f t="shared" si="18"/>
        <v>3321117.4407799998</v>
      </c>
      <c r="G44" s="200">
        <v>3321117.4407839999</v>
      </c>
      <c r="H44" s="200">
        <v>0</v>
      </c>
      <c r="I44" s="200">
        <v>0</v>
      </c>
      <c r="J44" s="200">
        <v>0</v>
      </c>
      <c r="K44" s="200">
        <v>642208.39320000005</v>
      </c>
      <c r="L44" s="200">
        <v>822590.61177942378</v>
      </c>
      <c r="M44" s="203">
        <f t="shared" si="1"/>
        <v>1456217.3685000001</v>
      </c>
      <c r="N44" s="200">
        <v>1456217.3685000001</v>
      </c>
      <c r="O44" s="200">
        <v>0</v>
      </c>
      <c r="P44" s="200">
        <v>0</v>
      </c>
      <c r="Q44" s="200">
        <v>0</v>
      </c>
      <c r="R44" s="200">
        <v>0</v>
      </c>
      <c r="S44" s="200">
        <v>0</v>
      </c>
      <c r="T44" s="200">
        <v>0</v>
      </c>
      <c r="U44" s="203">
        <f t="shared" si="2"/>
        <v>762445.45860000001</v>
      </c>
      <c r="V44" s="200">
        <v>762445.45860000013</v>
      </c>
      <c r="W44" s="200">
        <v>0</v>
      </c>
      <c r="X44" s="200">
        <v>0</v>
      </c>
      <c r="Y44" s="200">
        <v>0</v>
      </c>
      <c r="Z44" s="200">
        <v>0</v>
      </c>
      <c r="AA44" s="200">
        <v>0</v>
      </c>
      <c r="AB44" s="200">
        <v>0</v>
      </c>
      <c r="AC44" s="203">
        <f t="shared" si="3"/>
        <v>11176135.959380001</v>
      </c>
      <c r="AD44" s="200">
        <v>9006164.4541439991</v>
      </c>
      <c r="AE44" s="200">
        <v>1891038.8220239999</v>
      </c>
      <c r="AF44" s="200">
        <v>0</v>
      </c>
      <c r="AG44" s="200">
        <v>278932.68321599998</v>
      </c>
      <c r="AH44" s="203">
        <f t="shared" si="4"/>
        <v>1419578.0480599999</v>
      </c>
      <c r="AI44" s="200">
        <v>1299137.9438400001</v>
      </c>
      <c r="AJ44" s="200">
        <v>0</v>
      </c>
      <c r="AK44" s="200">
        <v>0</v>
      </c>
      <c r="AL44" s="200">
        <v>43449.353375999999</v>
      </c>
      <c r="AM44" s="200">
        <v>76990.750847999996</v>
      </c>
      <c r="AN44" s="200">
        <v>72560892.498300001</v>
      </c>
      <c r="AO44" s="200">
        <v>0</v>
      </c>
      <c r="AP44" s="200">
        <v>0</v>
      </c>
      <c r="AQ44" s="200">
        <v>0</v>
      </c>
      <c r="AR44" s="203">
        <f t="shared" si="5"/>
        <v>92161185.778600007</v>
      </c>
      <c r="AS44" s="203">
        <f t="shared" si="6"/>
        <v>144257178.00885999</v>
      </c>
      <c r="AT44" s="200">
        <v>134212389.597</v>
      </c>
      <c r="AU44" s="200">
        <v>0</v>
      </c>
      <c r="AV44" s="200">
        <v>0</v>
      </c>
      <c r="AW44" s="200">
        <v>0</v>
      </c>
      <c r="AX44" s="200">
        <v>10044788.411855999</v>
      </c>
      <c r="AY44" s="200">
        <v>0</v>
      </c>
      <c r="AZ44" s="203">
        <f t="shared" si="7"/>
        <v>725608924.98300004</v>
      </c>
      <c r="BA44" s="200">
        <v>388290676.85092002</v>
      </c>
      <c r="BB44" s="200">
        <v>225572201.12427998</v>
      </c>
      <c r="BC44" s="200">
        <v>0</v>
      </c>
      <c r="BD44" s="200">
        <v>22818045.151712</v>
      </c>
      <c r="BE44" s="200">
        <v>6758463.5949920006</v>
      </c>
      <c r="BF44" s="200">
        <v>82169538.261096001</v>
      </c>
      <c r="BG44" s="200">
        <v>0</v>
      </c>
      <c r="BH44" s="200">
        <v>0</v>
      </c>
      <c r="BI44" s="200">
        <v>0</v>
      </c>
      <c r="BJ44" s="203">
        <f t="shared" si="8"/>
        <v>869866102.99186003</v>
      </c>
      <c r="BK44" s="203">
        <f t="shared" si="9"/>
        <v>-777704917.21326005</v>
      </c>
      <c r="BL44" s="203">
        <f>$BO$9+SUMPRODUCT($D$10:D44,$BK$10:BK44)</f>
        <v>671256401.75743937</v>
      </c>
      <c r="BM44" s="202">
        <f t="shared" si="10"/>
        <v>5.85</v>
      </c>
      <c r="BN44" s="203">
        <f t="shared" si="13"/>
        <v>314327915.11917001</v>
      </c>
      <c r="BO44" s="204">
        <f t="shared" si="11"/>
        <v>4909749752.0798197</v>
      </c>
      <c r="BP44" s="201">
        <f t="shared" si="14"/>
        <v>120115020.88359596</v>
      </c>
      <c r="BQ44" s="201">
        <f t="shared" si="15"/>
        <v>4143968220.4840608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165">
        <f t="shared" si="19"/>
        <v>36</v>
      </c>
      <c r="B45" s="166">
        <f t="shared" si="19"/>
        <v>2055</v>
      </c>
      <c r="C45" s="29">
        <v>5.85</v>
      </c>
      <c r="D45" s="164">
        <f t="shared" si="16"/>
        <v>0.12914999999999999</v>
      </c>
      <c r="E45" s="200">
        <v>2447026.5499999998</v>
      </c>
      <c r="F45" s="203">
        <f t="shared" si="18"/>
        <v>2817896.7474199999</v>
      </c>
      <c r="G45" s="200">
        <v>2817896.7474239999</v>
      </c>
      <c r="H45" s="200">
        <v>0</v>
      </c>
      <c r="I45" s="200">
        <v>0</v>
      </c>
      <c r="J45" s="200">
        <v>0</v>
      </c>
      <c r="K45" s="200">
        <v>552320.18027999997</v>
      </c>
      <c r="L45" s="200">
        <v>623749.23733600171</v>
      </c>
      <c r="M45" s="203">
        <f t="shared" si="1"/>
        <v>665966.0318</v>
      </c>
      <c r="N45" s="200">
        <v>665966.0318</v>
      </c>
      <c r="O45" s="200">
        <v>0</v>
      </c>
      <c r="P45" s="200">
        <v>0</v>
      </c>
      <c r="Q45" s="200">
        <v>0</v>
      </c>
      <c r="R45" s="200">
        <v>0</v>
      </c>
      <c r="S45" s="200">
        <v>0</v>
      </c>
      <c r="T45" s="200">
        <v>0</v>
      </c>
      <c r="U45" s="203">
        <f t="shared" si="2"/>
        <v>342583.717</v>
      </c>
      <c r="V45" s="200">
        <v>342583.717</v>
      </c>
      <c r="W45" s="200">
        <v>0</v>
      </c>
      <c r="X45" s="200">
        <v>0</v>
      </c>
      <c r="Y45" s="200">
        <v>0</v>
      </c>
      <c r="Z45" s="200">
        <v>0</v>
      </c>
      <c r="AA45" s="200">
        <v>0</v>
      </c>
      <c r="AB45" s="200">
        <v>0</v>
      </c>
      <c r="AC45" s="203">
        <f t="shared" si="3"/>
        <v>10256331.53609</v>
      </c>
      <c r="AD45" s="200">
        <v>8224987.662672</v>
      </c>
      <c r="AE45" s="200">
        <v>1774058.064768</v>
      </c>
      <c r="AF45" s="200">
        <v>0</v>
      </c>
      <c r="AG45" s="200">
        <v>257285.80864799998</v>
      </c>
      <c r="AH45" s="203">
        <f t="shared" si="4"/>
        <v>1313198.04211</v>
      </c>
      <c r="AI45" s="200">
        <v>1210778.051736</v>
      </c>
      <c r="AJ45" s="200">
        <v>0</v>
      </c>
      <c r="AK45" s="200">
        <v>0</v>
      </c>
      <c r="AL45" s="200">
        <v>40725.878688000004</v>
      </c>
      <c r="AM45" s="200">
        <v>61694.111688000005</v>
      </c>
      <c r="AN45" s="200">
        <v>68676384.316206396</v>
      </c>
      <c r="AO45" s="200">
        <v>0</v>
      </c>
      <c r="AP45" s="200">
        <v>0</v>
      </c>
      <c r="AQ45" s="200">
        <v>0</v>
      </c>
      <c r="AR45" s="203">
        <f t="shared" si="5"/>
        <v>85248429.808239996</v>
      </c>
      <c r="AS45" s="203">
        <f t="shared" si="6"/>
        <v>124312270.17845</v>
      </c>
      <c r="AT45" s="200">
        <v>115334387.22960001</v>
      </c>
      <c r="AU45" s="200">
        <v>0</v>
      </c>
      <c r="AV45" s="200">
        <v>0</v>
      </c>
      <c r="AW45" s="200">
        <v>0</v>
      </c>
      <c r="AX45" s="200">
        <v>8977882.9488479998</v>
      </c>
      <c r="AY45" s="200">
        <v>0</v>
      </c>
      <c r="AZ45" s="203">
        <f t="shared" si="7"/>
        <v>686763843.16206002</v>
      </c>
      <c r="BA45" s="200">
        <v>364526687.50306404</v>
      </c>
      <c r="BB45" s="200">
        <v>215181475.29440799</v>
      </c>
      <c r="BC45" s="200">
        <v>0</v>
      </c>
      <c r="BD45" s="200">
        <v>21630027.521168001</v>
      </c>
      <c r="BE45" s="200">
        <v>5580650.7481760001</v>
      </c>
      <c r="BF45" s="200">
        <v>79845002.095247984</v>
      </c>
      <c r="BG45" s="200">
        <v>0</v>
      </c>
      <c r="BH45" s="200">
        <v>0</v>
      </c>
      <c r="BI45" s="200">
        <v>0</v>
      </c>
      <c r="BJ45" s="203">
        <f t="shared" si="8"/>
        <v>811076113.34051001</v>
      </c>
      <c r="BK45" s="203">
        <f t="shared" si="9"/>
        <v>-725827683.53226995</v>
      </c>
      <c r="BL45" s="203">
        <f>$BO$9+SUMPRODUCT($D$10:D45,$BK$10:BK45)</f>
        <v>577515756.42924666</v>
      </c>
      <c r="BM45" s="202">
        <f t="shared" si="10"/>
        <v>5.85</v>
      </c>
      <c r="BN45" s="203">
        <f t="shared" si="13"/>
        <v>287220360.49667001</v>
      </c>
      <c r="BO45" s="204">
        <f t="shared" si="11"/>
        <v>4471142429.04422</v>
      </c>
      <c r="BP45" s="201">
        <f t="shared" si="14"/>
        <v>105867592.39332977</v>
      </c>
      <c r="BQ45" s="201">
        <f t="shared" si="15"/>
        <v>3758299529.9632068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>
      <c r="A46" s="165">
        <f t="shared" si="19"/>
        <v>37</v>
      </c>
      <c r="B46" s="166">
        <f t="shared" si="19"/>
        <v>2056</v>
      </c>
      <c r="C46" s="29">
        <v>5.85</v>
      </c>
      <c r="D46" s="164">
        <f t="shared" si="16"/>
        <v>0.12200999999999999</v>
      </c>
      <c r="E46" s="200">
        <v>922366.66999999993</v>
      </c>
      <c r="F46" s="203">
        <f t="shared" si="18"/>
        <v>2366522.6639999999</v>
      </c>
      <c r="G46" s="200">
        <v>2366522.6639999999</v>
      </c>
      <c r="H46" s="200">
        <v>0</v>
      </c>
      <c r="I46" s="200">
        <v>0</v>
      </c>
      <c r="J46" s="200">
        <v>0</v>
      </c>
      <c r="K46" s="200">
        <v>471097.756008</v>
      </c>
      <c r="L46" s="200">
        <v>466472.83422929834</v>
      </c>
      <c r="M46" s="203">
        <f t="shared" si="1"/>
        <v>252135.86689999999</v>
      </c>
      <c r="N46" s="200">
        <v>252135.86690000002</v>
      </c>
      <c r="O46" s="200">
        <v>0</v>
      </c>
      <c r="P46" s="200">
        <v>0</v>
      </c>
      <c r="Q46" s="200">
        <v>0</v>
      </c>
      <c r="R46" s="200">
        <v>0</v>
      </c>
      <c r="S46" s="200">
        <v>0</v>
      </c>
      <c r="T46" s="200">
        <v>0</v>
      </c>
      <c r="U46" s="203">
        <f t="shared" si="2"/>
        <v>129131.33379999999</v>
      </c>
      <c r="V46" s="200">
        <v>129131.33380000001</v>
      </c>
      <c r="W46" s="200">
        <v>0</v>
      </c>
      <c r="X46" s="200">
        <v>0</v>
      </c>
      <c r="Y46" s="200">
        <v>0</v>
      </c>
      <c r="Z46" s="200">
        <v>0</v>
      </c>
      <c r="AA46" s="200">
        <v>0</v>
      </c>
      <c r="AB46" s="200">
        <v>0</v>
      </c>
      <c r="AC46" s="203">
        <f t="shared" si="3"/>
        <v>9345280.5301699992</v>
      </c>
      <c r="AD46" s="200">
        <v>7452910.9353599995</v>
      </c>
      <c r="AE46" s="200">
        <v>1656201.010464</v>
      </c>
      <c r="AF46" s="200">
        <v>0</v>
      </c>
      <c r="AG46" s="200">
        <v>236168.58434399997</v>
      </c>
      <c r="AH46" s="203">
        <f t="shared" si="4"/>
        <v>1206285.9145899999</v>
      </c>
      <c r="AI46" s="200">
        <v>1119754.4358000001</v>
      </c>
      <c r="AJ46" s="200">
        <v>0</v>
      </c>
      <c r="AK46" s="200">
        <v>0</v>
      </c>
      <c r="AL46" s="200">
        <v>37907.078088000002</v>
      </c>
      <c r="AM46" s="200">
        <v>48624.400704</v>
      </c>
      <c r="AN46" s="200">
        <v>64673411.2880584</v>
      </c>
      <c r="AO46" s="200">
        <v>0</v>
      </c>
      <c r="AP46" s="200">
        <v>0</v>
      </c>
      <c r="AQ46" s="200">
        <v>0</v>
      </c>
      <c r="AR46" s="203">
        <f t="shared" si="5"/>
        <v>78910338.187759995</v>
      </c>
      <c r="AS46" s="203">
        <f t="shared" si="6"/>
        <v>106260929.81222001</v>
      </c>
      <c r="AT46" s="200">
        <v>98258578.166232005</v>
      </c>
      <c r="AU46" s="200">
        <v>0</v>
      </c>
      <c r="AV46" s="200">
        <v>0</v>
      </c>
      <c r="AW46" s="200">
        <v>0</v>
      </c>
      <c r="AX46" s="200">
        <v>8002351.6459920006</v>
      </c>
      <c r="AY46" s="200">
        <v>0</v>
      </c>
      <c r="AZ46" s="203">
        <f t="shared" si="7"/>
        <v>646734112.88057995</v>
      </c>
      <c r="BA46" s="200">
        <v>340047801.56608796</v>
      </c>
      <c r="BB46" s="200">
        <v>204561679.804584</v>
      </c>
      <c r="BC46" s="200">
        <v>0</v>
      </c>
      <c r="BD46" s="200">
        <v>20431017.887695998</v>
      </c>
      <c r="BE46" s="200">
        <v>4544914.9602640001</v>
      </c>
      <c r="BF46" s="200">
        <v>77148698.661952004</v>
      </c>
      <c r="BG46" s="200">
        <v>0</v>
      </c>
      <c r="BH46" s="200">
        <v>0</v>
      </c>
      <c r="BI46" s="200">
        <v>0</v>
      </c>
      <c r="BJ46" s="203">
        <f t="shared" si="8"/>
        <v>752995042.69280005</v>
      </c>
      <c r="BK46" s="203">
        <f t="shared" si="9"/>
        <v>-674084704.50504005</v>
      </c>
      <c r="BL46" s="203">
        <f>$BO$9+SUMPRODUCT($D$10:D46,$BK$10:BK46)</f>
        <v>495270681.63258672</v>
      </c>
      <c r="BM46" s="202">
        <f t="shared" si="10"/>
        <v>5.85</v>
      </c>
      <c r="BN46" s="203">
        <f t="shared" si="13"/>
        <v>261561832.09909001</v>
      </c>
      <c r="BO46" s="204">
        <f t="shared" si="11"/>
        <v>4058619556.6382699</v>
      </c>
      <c r="BP46" s="201">
        <f t="shared" si="14"/>
        <v>92909560.19589901</v>
      </c>
      <c r="BQ46" s="201">
        <f t="shared" si="15"/>
        <v>3391198947.1503139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165">
        <f t="shared" si="19"/>
        <v>38</v>
      </c>
      <c r="B47" s="166">
        <f t="shared" si="19"/>
        <v>2057</v>
      </c>
      <c r="C47" s="29">
        <v>5.85</v>
      </c>
      <c r="D47" s="164">
        <f t="shared" si="16"/>
        <v>0.11527</v>
      </c>
      <c r="E47" s="200">
        <v>327300.44</v>
      </c>
      <c r="F47" s="203">
        <f t="shared" si="18"/>
        <v>1965609.8243799999</v>
      </c>
      <c r="G47" s="200">
        <v>1965609.8243760001</v>
      </c>
      <c r="H47" s="200">
        <v>0</v>
      </c>
      <c r="I47" s="200">
        <v>0</v>
      </c>
      <c r="J47" s="200">
        <v>0</v>
      </c>
      <c r="K47" s="200">
        <v>398418.60035999998</v>
      </c>
      <c r="L47" s="200">
        <v>344267.69249769428</v>
      </c>
      <c r="M47" s="203">
        <f t="shared" si="1"/>
        <v>88290.750799999994</v>
      </c>
      <c r="N47" s="200">
        <v>88290.750800000009</v>
      </c>
      <c r="O47" s="200">
        <v>0</v>
      </c>
      <c r="P47" s="200">
        <v>0</v>
      </c>
      <c r="Q47" s="200">
        <v>0</v>
      </c>
      <c r="R47" s="200">
        <v>0</v>
      </c>
      <c r="S47" s="200">
        <v>0</v>
      </c>
      <c r="T47" s="200">
        <v>0</v>
      </c>
      <c r="U47" s="203">
        <f t="shared" si="2"/>
        <v>45822.061600000001</v>
      </c>
      <c r="V47" s="200">
        <v>45822.061600000008</v>
      </c>
      <c r="W47" s="200">
        <v>0</v>
      </c>
      <c r="X47" s="200">
        <v>0</v>
      </c>
      <c r="Y47" s="200">
        <v>0</v>
      </c>
      <c r="Z47" s="200">
        <v>0</v>
      </c>
      <c r="AA47" s="200">
        <v>0</v>
      </c>
      <c r="AB47" s="200">
        <v>0</v>
      </c>
      <c r="AC47" s="203">
        <f t="shared" si="3"/>
        <v>8465349.7959400006</v>
      </c>
      <c r="AD47" s="200">
        <v>6711480.6145199994</v>
      </c>
      <c r="AE47" s="200">
        <v>1538183.555832</v>
      </c>
      <c r="AF47" s="200">
        <v>0</v>
      </c>
      <c r="AG47" s="200">
        <v>215685.62558399999</v>
      </c>
      <c r="AH47" s="203">
        <f t="shared" si="4"/>
        <v>1100054.02082</v>
      </c>
      <c r="AI47" s="200">
        <v>1027345.570944</v>
      </c>
      <c r="AJ47" s="200">
        <v>0</v>
      </c>
      <c r="AK47" s="200">
        <v>0</v>
      </c>
      <c r="AL47" s="200">
        <v>35032.736640000003</v>
      </c>
      <c r="AM47" s="200">
        <v>37675.713240000005</v>
      </c>
      <c r="AN47" s="200">
        <v>60632586.950124003</v>
      </c>
      <c r="AO47" s="200">
        <v>0</v>
      </c>
      <c r="AP47" s="200">
        <v>0</v>
      </c>
      <c r="AQ47" s="200">
        <v>0</v>
      </c>
      <c r="AR47" s="203">
        <f t="shared" si="5"/>
        <v>73040399.696520001</v>
      </c>
      <c r="AS47" s="203">
        <f t="shared" si="6"/>
        <v>90062253.439490005</v>
      </c>
      <c r="AT47" s="200">
        <v>82949569.914815992</v>
      </c>
      <c r="AU47" s="200">
        <v>0</v>
      </c>
      <c r="AV47" s="200">
        <v>0</v>
      </c>
      <c r="AW47" s="200">
        <v>0</v>
      </c>
      <c r="AX47" s="200">
        <v>7112683.5246719997</v>
      </c>
      <c r="AY47" s="200">
        <v>0</v>
      </c>
      <c r="AZ47" s="203">
        <f t="shared" si="7"/>
        <v>606325869.50124002</v>
      </c>
      <c r="BA47" s="200">
        <v>315568755.48344797</v>
      </c>
      <c r="BB47" s="200">
        <v>193759358.07786396</v>
      </c>
      <c r="BC47" s="200">
        <v>0</v>
      </c>
      <c r="BD47" s="200">
        <v>19229784.806031998</v>
      </c>
      <c r="BE47" s="200">
        <v>3652021.294944</v>
      </c>
      <c r="BF47" s="200">
        <v>74115949.83895199</v>
      </c>
      <c r="BG47" s="200">
        <v>0</v>
      </c>
      <c r="BH47" s="200">
        <v>0</v>
      </c>
      <c r="BI47" s="200">
        <v>0</v>
      </c>
      <c r="BJ47" s="203">
        <f t="shared" si="8"/>
        <v>696388122.94072998</v>
      </c>
      <c r="BK47" s="203">
        <f t="shared" si="9"/>
        <v>-623347723.24421</v>
      </c>
      <c r="BL47" s="203">
        <f>$BO$9+SUMPRODUCT($D$10:D47,$BK$10:BK47)</f>
        <v>423417389.57422662</v>
      </c>
      <c r="BM47" s="202">
        <f t="shared" si="10"/>
        <v>5.85</v>
      </c>
      <c r="BN47" s="203">
        <f t="shared" si="13"/>
        <v>237429244.06334001</v>
      </c>
      <c r="BO47" s="204">
        <f t="shared" si="11"/>
        <v>3672701077.4573998</v>
      </c>
      <c r="BP47" s="201">
        <f t="shared" si="14"/>
        <v>81225544.262537941</v>
      </c>
      <c r="BQ47" s="201">
        <f t="shared" si="15"/>
        <v>3045957909.8451729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165">
        <f t="shared" si="19"/>
        <v>39</v>
      </c>
      <c r="B48" s="166">
        <f t="shared" si="19"/>
        <v>2058</v>
      </c>
      <c r="C48" s="29">
        <v>5.85</v>
      </c>
      <c r="D48" s="164">
        <f t="shared" si="16"/>
        <v>0.1089</v>
      </c>
      <c r="E48" s="200">
        <v>171438.07</v>
      </c>
      <c r="F48" s="203">
        <f t="shared" si="18"/>
        <v>1613358.5624599999</v>
      </c>
      <c r="G48" s="200">
        <v>1613358.562464</v>
      </c>
      <c r="H48" s="200">
        <v>0</v>
      </c>
      <c r="I48" s="200">
        <v>0</v>
      </c>
      <c r="J48" s="200">
        <v>0</v>
      </c>
      <c r="K48" s="200">
        <v>334033.37536800001</v>
      </c>
      <c r="L48" s="200">
        <v>251177.01795519836</v>
      </c>
      <c r="M48" s="203">
        <f t="shared" si="1"/>
        <v>48002.659599999999</v>
      </c>
      <c r="N48" s="200">
        <v>48002.659600000006</v>
      </c>
      <c r="O48" s="200">
        <v>0</v>
      </c>
      <c r="P48" s="200">
        <v>0</v>
      </c>
      <c r="Q48" s="200">
        <v>0</v>
      </c>
      <c r="R48" s="200">
        <v>0</v>
      </c>
      <c r="S48" s="200">
        <v>0</v>
      </c>
      <c r="T48" s="200">
        <v>0</v>
      </c>
      <c r="U48" s="203">
        <f t="shared" si="2"/>
        <v>24001.3298</v>
      </c>
      <c r="V48" s="200">
        <v>24001.329800000003</v>
      </c>
      <c r="W48" s="200">
        <v>0</v>
      </c>
      <c r="X48" s="200">
        <v>0</v>
      </c>
      <c r="Y48" s="200">
        <v>0</v>
      </c>
      <c r="Z48" s="200">
        <v>0</v>
      </c>
      <c r="AA48" s="200">
        <v>0</v>
      </c>
      <c r="AB48" s="200">
        <v>0</v>
      </c>
      <c r="AC48" s="203">
        <f t="shared" si="3"/>
        <v>7620747.9641000004</v>
      </c>
      <c r="AD48" s="200">
        <v>6004082.2889519995</v>
      </c>
      <c r="AE48" s="200">
        <v>1420732.2154080002</v>
      </c>
      <c r="AF48" s="200">
        <v>0</v>
      </c>
      <c r="AG48" s="200">
        <v>195933.45974399999</v>
      </c>
      <c r="AH48" s="203">
        <f t="shared" si="4"/>
        <v>995609.57337999996</v>
      </c>
      <c r="AI48" s="200">
        <v>934796.61343200004</v>
      </c>
      <c r="AJ48" s="200">
        <v>0</v>
      </c>
      <c r="AK48" s="200">
        <v>0</v>
      </c>
      <c r="AL48" s="200">
        <v>32142.600335999996</v>
      </c>
      <c r="AM48" s="200">
        <v>28670.359608000002</v>
      </c>
      <c r="AN48" s="200">
        <v>56609612.410407998</v>
      </c>
      <c r="AO48" s="200">
        <v>0</v>
      </c>
      <c r="AP48" s="200">
        <v>0</v>
      </c>
      <c r="AQ48" s="200">
        <v>0</v>
      </c>
      <c r="AR48" s="203">
        <f t="shared" si="5"/>
        <v>67496542.893069997</v>
      </c>
      <c r="AS48" s="203">
        <f t="shared" si="6"/>
        <v>75656277.388820007</v>
      </c>
      <c r="AT48" s="200">
        <v>69353089.914240003</v>
      </c>
      <c r="AU48" s="200">
        <v>0</v>
      </c>
      <c r="AV48" s="200">
        <v>0</v>
      </c>
      <c r="AW48" s="200">
        <v>0</v>
      </c>
      <c r="AX48" s="200">
        <v>6303187.4745840002</v>
      </c>
      <c r="AY48" s="200">
        <v>0</v>
      </c>
      <c r="AZ48" s="203">
        <f t="shared" si="7"/>
        <v>566096124.10407996</v>
      </c>
      <c r="BA48" s="200">
        <v>291552008.90927202</v>
      </c>
      <c r="BB48" s="200">
        <v>182825281.25907999</v>
      </c>
      <c r="BC48" s="200">
        <v>0</v>
      </c>
      <c r="BD48" s="200">
        <v>18033421.407680001</v>
      </c>
      <c r="BE48" s="200">
        <v>2896761.9218880003</v>
      </c>
      <c r="BF48" s="200">
        <v>70788650.60616</v>
      </c>
      <c r="BG48" s="200">
        <v>0</v>
      </c>
      <c r="BH48" s="200">
        <v>0</v>
      </c>
      <c r="BI48" s="200">
        <v>0</v>
      </c>
      <c r="BJ48" s="203">
        <f t="shared" si="8"/>
        <v>641752401.49290001</v>
      </c>
      <c r="BK48" s="203">
        <f t="shared" si="9"/>
        <v>-574255858.59983003</v>
      </c>
      <c r="BL48" s="203">
        <f>$BO$9+SUMPRODUCT($D$10:D48,$BK$10:BK48)</f>
        <v>360880926.57270503</v>
      </c>
      <c r="BM48" s="202">
        <f t="shared" si="10"/>
        <v>5.85</v>
      </c>
      <c r="BN48" s="203">
        <f t="shared" si="13"/>
        <v>214853013.03126001</v>
      </c>
      <c r="BO48" s="204">
        <f t="shared" si="11"/>
        <v>3313298231.8888302</v>
      </c>
      <c r="BP48" s="201">
        <f t="shared" si="14"/>
        <v>70760477.529776305</v>
      </c>
      <c r="BQ48" s="201">
        <f t="shared" si="15"/>
        <v>2724278384.8963876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165">
        <f t="shared" si="19"/>
        <v>40</v>
      </c>
      <c r="B49" s="166">
        <f t="shared" si="19"/>
        <v>2059</v>
      </c>
      <c r="C49" s="29">
        <v>5.85</v>
      </c>
      <c r="D49" s="164">
        <f t="shared" si="16"/>
        <v>0.10288</v>
      </c>
      <c r="E49" s="200">
        <v>42517.67</v>
      </c>
      <c r="F49" s="203">
        <f t="shared" si="18"/>
        <v>1307466.1211000001</v>
      </c>
      <c r="G49" s="200">
        <v>1307466.1211040001</v>
      </c>
      <c r="H49" s="200">
        <v>0</v>
      </c>
      <c r="I49" s="200">
        <v>0</v>
      </c>
      <c r="J49" s="200">
        <v>0</v>
      </c>
      <c r="K49" s="200">
        <v>277615.61493599997</v>
      </c>
      <c r="L49" s="200">
        <v>181793.06448638503</v>
      </c>
      <c r="M49" s="203">
        <f t="shared" si="1"/>
        <v>11904.9476</v>
      </c>
      <c r="N49" s="200">
        <v>11904.947600000001</v>
      </c>
      <c r="O49" s="200">
        <v>0</v>
      </c>
      <c r="P49" s="200">
        <v>0</v>
      </c>
      <c r="Q49" s="200">
        <v>0</v>
      </c>
      <c r="R49" s="200">
        <v>0</v>
      </c>
      <c r="S49" s="200">
        <v>0</v>
      </c>
      <c r="T49" s="200">
        <v>0</v>
      </c>
      <c r="U49" s="203">
        <f t="shared" si="2"/>
        <v>5952.4737999999998</v>
      </c>
      <c r="V49" s="200">
        <v>5952.4738000000007</v>
      </c>
      <c r="W49" s="200">
        <v>0</v>
      </c>
      <c r="X49" s="200">
        <v>0</v>
      </c>
      <c r="Y49" s="200">
        <v>0</v>
      </c>
      <c r="Z49" s="200">
        <v>0</v>
      </c>
      <c r="AA49" s="200">
        <v>0</v>
      </c>
      <c r="AB49" s="200">
        <v>0</v>
      </c>
      <c r="AC49" s="203">
        <f t="shared" si="3"/>
        <v>6815345.2921000002</v>
      </c>
      <c r="AD49" s="200">
        <v>5333766.7980960002</v>
      </c>
      <c r="AE49" s="200">
        <v>1304576.4731999999</v>
      </c>
      <c r="AF49" s="200">
        <v>0</v>
      </c>
      <c r="AG49" s="200">
        <v>177002.0208</v>
      </c>
      <c r="AH49" s="203">
        <f t="shared" si="4"/>
        <v>893974.64693000005</v>
      </c>
      <c r="AI49" s="200">
        <v>843297.82336799998</v>
      </c>
      <c r="AJ49" s="200">
        <v>0</v>
      </c>
      <c r="AK49" s="200">
        <v>0</v>
      </c>
      <c r="AL49" s="200">
        <v>29273.875488000001</v>
      </c>
      <c r="AM49" s="200">
        <v>21402.948071999999</v>
      </c>
      <c r="AN49" s="200">
        <v>52635228.760161601</v>
      </c>
      <c r="AO49" s="200">
        <v>0</v>
      </c>
      <c r="AP49" s="200">
        <v>0</v>
      </c>
      <c r="AQ49" s="200">
        <v>0</v>
      </c>
      <c r="AR49" s="203">
        <f t="shared" si="5"/>
        <v>62129280.921109997</v>
      </c>
      <c r="AS49" s="203">
        <f t="shared" si="6"/>
        <v>62965504.966059998</v>
      </c>
      <c r="AT49" s="200">
        <v>57397166.700456008</v>
      </c>
      <c r="AU49" s="200">
        <v>0</v>
      </c>
      <c r="AV49" s="200">
        <v>0</v>
      </c>
      <c r="AW49" s="200">
        <v>0</v>
      </c>
      <c r="AX49" s="200">
        <v>5568338.2655999996</v>
      </c>
      <c r="AY49" s="200">
        <v>0</v>
      </c>
      <c r="AZ49" s="203">
        <f t="shared" si="7"/>
        <v>526352287.60162002</v>
      </c>
      <c r="BA49" s="200">
        <v>268210112.45254397</v>
      </c>
      <c r="BB49" s="200">
        <v>171813971.64460799</v>
      </c>
      <c r="BC49" s="200">
        <v>0</v>
      </c>
      <c r="BD49" s="200">
        <v>16847457.907768</v>
      </c>
      <c r="BE49" s="200">
        <v>2267067.6234800001</v>
      </c>
      <c r="BF49" s="200">
        <v>67213677.973215997</v>
      </c>
      <c r="BG49" s="200">
        <v>0</v>
      </c>
      <c r="BH49" s="200">
        <v>0</v>
      </c>
      <c r="BI49" s="200">
        <v>0</v>
      </c>
      <c r="BJ49" s="203">
        <f t="shared" si="8"/>
        <v>589317792.56768</v>
      </c>
      <c r="BK49" s="203">
        <f t="shared" si="9"/>
        <v>-527188511.64657003</v>
      </c>
      <c r="BL49" s="203">
        <f>$BO$9+SUMPRODUCT($D$10:D49,$BK$10:BK49)</f>
        <v>306643772.49450588</v>
      </c>
      <c r="BM49" s="202">
        <f t="shared" si="10"/>
        <v>5.85</v>
      </c>
      <c r="BN49" s="203">
        <f t="shared" si="13"/>
        <v>193827946.56549999</v>
      </c>
      <c r="BO49" s="204">
        <f t="shared" si="11"/>
        <v>2979937666.8077598</v>
      </c>
      <c r="BP49" s="201">
        <f t="shared" si="14"/>
        <v>61427700.875694156</v>
      </c>
      <c r="BQ49" s="201">
        <f t="shared" si="15"/>
        <v>2426394184.5899191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>
      <c r="A50" s="165">
        <f t="shared" si="19"/>
        <v>41</v>
      </c>
      <c r="B50" s="166">
        <f t="shared" si="19"/>
        <v>2060</v>
      </c>
      <c r="C50" s="29">
        <v>5.85</v>
      </c>
      <c r="D50" s="164">
        <f t="shared" si="16"/>
        <v>9.7189999999999999E-2</v>
      </c>
      <c r="E50" s="200">
        <v>0</v>
      </c>
      <c r="F50" s="203">
        <f t="shared" si="18"/>
        <v>1045170.32479</v>
      </c>
      <c r="G50" s="200">
        <v>1045170.324792</v>
      </c>
      <c r="H50" s="200">
        <v>0</v>
      </c>
      <c r="I50" s="200">
        <v>0</v>
      </c>
      <c r="J50" s="200">
        <v>0</v>
      </c>
      <c r="K50" s="200">
        <v>228776.43544799997</v>
      </c>
      <c r="L50" s="200">
        <v>131132.32897767369</v>
      </c>
      <c r="M50" s="203">
        <f t="shared" si="1"/>
        <v>0</v>
      </c>
      <c r="N50" s="200">
        <v>0</v>
      </c>
      <c r="O50" s="200">
        <v>0</v>
      </c>
      <c r="P50" s="200">
        <v>0</v>
      </c>
      <c r="Q50" s="200">
        <v>0</v>
      </c>
      <c r="R50" s="200">
        <v>0</v>
      </c>
      <c r="S50" s="200">
        <v>0</v>
      </c>
      <c r="T50" s="200">
        <v>0</v>
      </c>
      <c r="U50" s="203">
        <f t="shared" si="2"/>
        <v>0</v>
      </c>
      <c r="V50" s="200">
        <v>0</v>
      </c>
      <c r="W50" s="200">
        <v>0</v>
      </c>
      <c r="X50" s="200">
        <v>0</v>
      </c>
      <c r="Y50" s="200">
        <v>0</v>
      </c>
      <c r="Z50" s="200">
        <v>0</v>
      </c>
      <c r="AA50" s="200">
        <v>0</v>
      </c>
      <c r="AB50" s="200">
        <v>0</v>
      </c>
      <c r="AC50" s="203">
        <f t="shared" si="3"/>
        <v>6052684.8484100001</v>
      </c>
      <c r="AD50" s="200">
        <v>4703265.7924560001</v>
      </c>
      <c r="AE50" s="200">
        <v>1190443.254</v>
      </c>
      <c r="AF50" s="200">
        <v>0</v>
      </c>
      <c r="AG50" s="200">
        <v>158975.80195200001</v>
      </c>
      <c r="AH50" s="203">
        <f t="shared" si="4"/>
        <v>796075.47253999999</v>
      </c>
      <c r="AI50" s="200">
        <v>753962.19597599993</v>
      </c>
      <c r="AJ50" s="200">
        <v>0</v>
      </c>
      <c r="AK50" s="200">
        <v>0</v>
      </c>
      <c r="AL50" s="200">
        <v>26459.890512000002</v>
      </c>
      <c r="AM50" s="200">
        <v>15653.386055999999</v>
      </c>
      <c r="AN50" s="200">
        <v>48731785.192981601</v>
      </c>
      <c r="AO50" s="200">
        <v>0</v>
      </c>
      <c r="AP50" s="200">
        <v>0</v>
      </c>
      <c r="AQ50" s="200">
        <v>0</v>
      </c>
      <c r="AR50" s="203">
        <f t="shared" si="5"/>
        <v>56985624.603150003</v>
      </c>
      <c r="AS50" s="203">
        <f t="shared" si="6"/>
        <v>51896618.794419996</v>
      </c>
      <c r="AT50" s="200">
        <v>46993141.568471998</v>
      </c>
      <c r="AU50" s="200">
        <v>0</v>
      </c>
      <c r="AV50" s="200">
        <v>0</v>
      </c>
      <c r="AW50" s="200">
        <v>0</v>
      </c>
      <c r="AX50" s="200">
        <v>4903477.2259440003</v>
      </c>
      <c r="AY50" s="200">
        <v>0</v>
      </c>
      <c r="AZ50" s="203">
        <f t="shared" si="7"/>
        <v>487317851.92982</v>
      </c>
      <c r="BA50" s="200">
        <v>245666849.64399201</v>
      </c>
      <c r="BB50" s="200">
        <v>160782891.171168</v>
      </c>
      <c r="BC50" s="200">
        <v>0</v>
      </c>
      <c r="BD50" s="200">
        <v>15677567.914592</v>
      </c>
      <c r="BE50" s="200">
        <v>1750264.6939600001</v>
      </c>
      <c r="BF50" s="200">
        <v>63440278.506104007</v>
      </c>
      <c r="BG50" s="200">
        <v>0</v>
      </c>
      <c r="BH50" s="200">
        <v>0</v>
      </c>
      <c r="BI50" s="200">
        <v>0</v>
      </c>
      <c r="BJ50" s="203">
        <f t="shared" si="8"/>
        <v>539214470.72423995</v>
      </c>
      <c r="BK50" s="203">
        <f t="shared" si="9"/>
        <v>-482228846.12108999</v>
      </c>
      <c r="BL50" s="203">
        <f>$BO$9+SUMPRODUCT($D$10:D50,$BK$10:BK50)</f>
        <v>259775950.9399972</v>
      </c>
      <c r="BM50" s="202">
        <f t="shared" si="10"/>
        <v>5.85</v>
      </c>
      <c r="BN50" s="203">
        <f t="shared" si="13"/>
        <v>174326353.50825</v>
      </c>
      <c r="BO50" s="204">
        <f t="shared" si="11"/>
        <v>2672035174.1949201</v>
      </c>
      <c r="BP50" s="201">
        <f t="shared" si="14"/>
        <v>53134510.013384908</v>
      </c>
      <c r="BQ50" s="201">
        <f t="shared" si="15"/>
        <v>2151947655.542089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165">
        <f t="shared" si="19"/>
        <v>42</v>
      </c>
      <c r="B51" s="166">
        <f t="shared" si="19"/>
        <v>2061</v>
      </c>
      <c r="C51" s="29">
        <v>5.85</v>
      </c>
      <c r="D51" s="164">
        <f t="shared" si="16"/>
        <v>9.1819999999999999E-2</v>
      </c>
      <c r="E51" s="200">
        <v>0</v>
      </c>
      <c r="F51" s="203">
        <f t="shared" si="18"/>
        <v>823331.75786000001</v>
      </c>
      <c r="G51" s="200">
        <v>823331.75786399993</v>
      </c>
      <c r="H51" s="200">
        <v>0</v>
      </c>
      <c r="I51" s="200">
        <v>0</v>
      </c>
      <c r="J51" s="200">
        <v>0</v>
      </c>
      <c r="K51" s="200">
        <v>187022.45522399998</v>
      </c>
      <c r="L51" s="200">
        <v>94729.383609718367</v>
      </c>
      <c r="M51" s="203">
        <f t="shared" si="1"/>
        <v>0</v>
      </c>
      <c r="N51" s="200">
        <v>0</v>
      </c>
      <c r="O51" s="200">
        <v>0</v>
      </c>
      <c r="P51" s="200">
        <v>0</v>
      </c>
      <c r="Q51" s="200">
        <v>0</v>
      </c>
      <c r="R51" s="200">
        <v>0</v>
      </c>
      <c r="S51" s="200">
        <v>0</v>
      </c>
      <c r="T51" s="200">
        <v>0</v>
      </c>
      <c r="U51" s="203">
        <f t="shared" si="2"/>
        <v>0</v>
      </c>
      <c r="V51" s="200">
        <v>0</v>
      </c>
      <c r="W51" s="200">
        <v>0</v>
      </c>
      <c r="X51" s="200">
        <v>0</v>
      </c>
      <c r="Y51" s="200">
        <v>0</v>
      </c>
      <c r="Z51" s="200">
        <v>0</v>
      </c>
      <c r="AA51" s="200">
        <v>0</v>
      </c>
      <c r="AB51" s="200">
        <v>0</v>
      </c>
      <c r="AC51" s="203">
        <f t="shared" si="3"/>
        <v>5335836.8228900004</v>
      </c>
      <c r="AD51" s="200">
        <v>4114865.697096</v>
      </c>
      <c r="AE51" s="200">
        <v>1079043.130968</v>
      </c>
      <c r="AF51" s="200">
        <v>0</v>
      </c>
      <c r="AG51" s="200">
        <v>141927.99482399999</v>
      </c>
      <c r="AH51" s="203">
        <f t="shared" si="4"/>
        <v>702757.85158000002</v>
      </c>
      <c r="AI51" s="200">
        <v>667826.92680000002</v>
      </c>
      <c r="AJ51" s="200">
        <v>0</v>
      </c>
      <c r="AK51" s="200">
        <v>0</v>
      </c>
      <c r="AL51" s="200">
        <v>23732.127672000002</v>
      </c>
      <c r="AM51" s="200">
        <v>11198.797104000001</v>
      </c>
      <c r="AN51" s="200">
        <v>44920043.499539204</v>
      </c>
      <c r="AO51" s="200">
        <v>0</v>
      </c>
      <c r="AP51" s="200">
        <v>0</v>
      </c>
      <c r="AQ51" s="200">
        <v>0</v>
      </c>
      <c r="AR51" s="203">
        <f t="shared" si="5"/>
        <v>52063721.7707</v>
      </c>
      <c r="AS51" s="203">
        <f t="shared" si="6"/>
        <v>42342561.78926</v>
      </c>
      <c r="AT51" s="200">
        <v>38038335.802896</v>
      </c>
      <c r="AU51" s="200">
        <v>0</v>
      </c>
      <c r="AV51" s="200">
        <v>0</v>
      </c>
      <c r="AW51" s="200">
        <v>0</v>
      </c>
      <c r="AX51" s="200">
        <v>4304225.9863679996</v>
      </c>
      <c r="AY51" s="200">
        <v>0</v>
      </c>
      <c r="AZ51" s="203">
        <f t="shared" si="7"/>
        <v>449200434.99539</v>
      </c>
      <c r="BA51" s="200">
        <v>224027629.633432</v>
      </c>
      <c r="BB51" s="200">
        <v>149791448.051864</v>
      </c>
      <c r="BC51" s="200">
        <v>0</v>
      </c>
      <c r="BD51" s="200">
        <v>14529222.791536</v>
      </c>
      <c r="BE51" s="200">
        <v>1332723.8208240001</v>
      </c>
      <c r="BF51" s="200">
        <v>59519410.697735995</v>
      </c>
      <c r="BG51" s="200">
        <v>0</v>
      </c>
      <c r="BH51" s="200">
        <v>0</v>
      </c>
      <c r="BI51" s="200">
        <v>0</v>
      </c>
      <c r="BJ51" s="203">
        <f t="shared" si="8"/>
        <v>491542996.78465003</v>
      </c>
      <c r="BK51" s="203">
        <f t="shared" si="9"/>
        <v>-439479275.01394999</v>
      </c>
      <c r="BL51" s="203">
        <f>$BO$9+SUMPRODUCT($D$10:D51,$BK$10:BK51)</f>
        <v>219422963.90821624</v>
      </c>
      <c r="BM51" s="202">
        <f t="shared" si="10"/>
        <v>5.85</v>
      </c>
      <c r="BN51" s="203">
        <f t="shared" si="13"/>
        <v>156314057.6904</v>
      </c>
      <c r="BO51" s="204">
        <f t="shared" si="11"/>
        <v>2388869956.8713698</v>
      </c>
      <c r="BP51" s="201">
        <f t="shared" si="14"/>
        <v>45791542.231360532</v>
      </c>
      <c r="BQ51" s="201">
        <f t="shared" si="15"/>
        <v>1900349002.6014621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165">
        <f t="shared" si="19"/>
        <v>43</v>
      </c>
      <c r="B52" s="166">
        <f t="shared" si="19"/>
        <v>2062</v>
      </c>
      <c r="C52" s="29">
        <v>5.85</v>
      </c>
      <c r="D52" s="164">
        <f t="shared" si="16"/>
        <v>8.6749999999999994E-2</v>
      </c>
      <c r="E52" s="200">
        <v>0</v>
      </c>
      <c r="F52" s="203">
        <f t="shared" si="18"/>
        <v>638498.77054000006</v>
      </c>
      <c r="G52" s="200">
        <v>638498.77053600003</v>
      </c>
      <c r="H52" s="200">
        <v>0</v>
      </c>
      <c r="I52" s="200">
        <v>0</v>
      </c>
      <c r="J52" s="200">
        <v>0</v>
      </c>
      <c r="K52" s="200">
        <v>151749.82627199998</v>
      </c>
      <c r="L52" s="200">
        <v>68854.451195648537</v>
      </c>
      <c r="M52" s="203">
        <f t="shared" si="1"/>
        <v>0</v>
      </c>
      <c r="N52" s="200">
        <v>0</v>
      </c>
      <c r="O52" s="200">
        <v>0</v>
      </c>
      <c r="P52" s="200">
        <v>0</v>
      </c>
      <c r="Q52" s="200">
        <v>0</v>
      </c>
      <c r="R52" s="200">
        <v>0</v>
      </c>
      <c r="S52" s="200">
        <v>0</v>
      </c>
      <c r="T52" s="200">
        <v>0</v>
      </c>
      <c r="U52" s="203">
        <f t="shared" si="2"/>
        <v>0</v>
      </c>
      <c r="V52" s="200">
        <v>0</v>
      </c>
      <c r="W52" s="200">
        <v>0</v>
      </c>
      <c r="X52" s="200">
        <v>0</v>
      </c>
      <c r="Y52" s="200">
        <v>0</v>
      </c>
      <c r="Z52" s="200">
        <v>0</v>
      </c>
      <c r="AA52" s="200">
        <v>0</v>
      </c>
      <c r="AB52" s="200">
        <v>0</v>
      </c>
      <c r="AC52" s="203">
        <f t="shared" si="3"/>
        <v>4667296.06042</v>
      </c>
      <c r="AD52" s="200">
        <v>3570318.0804719999</v>
      </c>
      <c r="AE52" s="200">
        <v>971059.41477599996</v>
      </c>
      <c r="AF52" s="200">
        <v>0</v>
      </c>
      <c r="AG52" s="200">
        <v>125918.565168</v>
      </c>
      <c r="AH52" s="203">
        <f t="shared" si="4"/>
        <v>614758.18377999996</v>
      </c>
      <c r="AI52" s="200">
        <v>585815.511864</v>
      </c>
      <c r="AJ52" s="200">
        <v>0</v>
      </c>
      <c r="AK52" s="200">
        <v>0</v>
      </c>
      <c r="AL52" s="200">
        <v>21119.422103999997</v>
      </c>
      <c r="AM52" s="200">
        <v>7823.2498080000005</v>
      </c>
      <c r="AN52" s="200">
        <v>41219855.551005602</v>
      </c>
      <c r="AO52" s="200">
        <v>0</v>
      </c>
      <c r="AP52" s="200">
        <v>0</v>
      </c>
      <c r="AQ52" s="200">
        <v>0</v>
      </c>
      <c r="AR52" s="203">
        <f t="shared" si="5"/>
        <v>47361012.843209997</v>
      </c>
      <c r="AS52" s="203">
        <f t="shared" si="6"/>
        <v>34184412.604319997</v>
      </c>
      <c r="AT52" s="200">
        <v>30418202.832072005</v>
      </c>
      <c r="AU52" s="200">
        <v>0</v>
      </c>
      <c r="AV52" s="200">
        <v>0</v>
      </c>
      <c r="AW52" s="200">
        <v>0</v>
      </c>
      <c r="AX52" s="200">
        <v>3766209.7722479999</v>
      </c>
      <c r="AY52" s="200">
        <v>0</v>
      </c>
      <c r="AZ52" s="203">
        <f t="shared" si="7"/>
        <v>412198555.51006001</v>
      </c>
      <c r="BA52" s="200">
        <v>203388152.998936</v>
      </c>
      <c r="BB52" s="200">
        <v>138900097.33580801</v>
      </c>
      <c r="BC52" s="200">
        <v>0</v>
      </c>
      <c r="BD52" s="200">
        <v>13407692.677920001</v>
      </c>
      <c r="BE52" s="200">
        <v>1000486.083528</v>
      </c>
      <c r="BF52" s="200">
        <v>55502126.413864009</v>
      </c>
      <c r="BG52" s="200">
        <v>0</v>
      </c>
      <c r="BH52" s="200">
        <v>0</v>
      </c>
      <c r="BI52" s="200">
        <v>0</v>
      </c>
      <c r="BJ52" s="203">
        <f t="shared" si="8"/>
        <v>446382968.11438</v>
      </c>
      <c r="BK52" s="203">
        <f t="shared" si="9"/>
        <v>-399021955.27117002</v>
      </c>
      <c r="BL52" s="203">
        <f>$BO$9+SUMPRODUCT($D$10:D52,$BK$10:BK52)</f>
        <v>184807809.28844213</v>
      </c>
      <c r="BM52" s="202">
        <f t="shared" si="10"/>
        <v>5.85</v>
      </c>
      <c r="BN52" s="203">
        <f t="shared" si="13"/>
        <v>139748892.47698</v>
      </c>
      <c r="BO52" s="204">
        <f t="shared" si="11"/>
        <v>2129596894.0771799</v>
      </c>
      <c r="BP52" s="201">
        <f t="shared" si="14"/>
        <v>39313997.493232958</v>
      </c>
      <c r="BQ52" s="201">
        <f t="shared" si="15"/>
        <v>1670844893.4624007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165">
        <f t="shared" si="19"/>
        <v>44</v>
      </c>
      <c r="B53" s="166">
        <f t="shared" si="19"/>
        <v>2063</v>
      </c>
      <c r="C53" s="29">
        <v>5.85</v>
      </c>
      <c r="D53" s="164">
        <f t="shared" si="16"/>
        <v>8.1960000000000005E-2</v>
      </c>
      <c r="E53" s="200">
        <v>0</v>
      </c>
      <c r="F53" s="203">
        <f t="shared" si="18"/>
        <v>486905.96486000001</v>
      </c>
      <c r="G53" s="200">
        <v>486905.96486399998</v>
      </c>
      <c r="H53" s="200">
        <v>0</v>
      </c>
      <c r="I53" s="200">
        <v>0</v>
      </c>
      <c r="J53" s="200">
        <v>0</v>
      </c>
      <c r="K53" s="200">
        <v>122299.98026400001</v>
      </c>
      <c r="L53" s="200">
        <v>50561.435238394261</v>
      </c>
      <c r="M53" s="203">
        <f t="shared" si="1"/>
        <v>0</v>
      </c>
      <c r="N53" s="200">
        <v>0</v>
      </c>
      <c r="O53" s="200">
        <v>0</v>
      </c>
      <c r="P53" s="200">
        <v>0</v>
      </c>
      <c r="Q53" s="200">
        <v>0</v>
      </c>
      <c r="R53" s="200">
        <v>0</v>
      </c>
      <c r="S53" s="200">
        <v>0</v>
      </c>
      <c r="T53" s="200">
        <v>0</v>
      </c>
      <c r="U53" s="203">
        <f t="shared" si="2"/>
        <v>0</v>
      </c>
      <c r="V53" s="200">
        <v>0</v>
      </c>
      <c r="W53" s="200">
        <v>0</v>
      </c>
      <c r="X53" s="200">
        <v>0</v>
      </c>
      <c r="Y53" s="200">
        <v>0</v>
      </c>
      <c r="Z53" s="200">
        <v>0</v>
      </c>
      <c r="AA53" s="200">
        <v>0</v>
      </c>
      <c r="AB53" s="200">
        <v>0</v>
      </c>
      <c r="AC53" s="203">
        <f t="shared" si="3"/>
        <v>4048947.7654599999</v>
      </c>
      <c r="AD53" s="200">
        <v>3070825.8815520001</v>
      </c>
      <c r="AE53" s="200">
        <v>867127.79709599994</v>
      </c>
      <c r="AF53" s="200">
        <v>0</v>
      </c>
      <c r="AG53" s="200">
        <v>110994.08680799999</v>
      </c>
      <c r="AH53" s="203">
        <f t="shared" si="4"/>
        <v>532673.47953999997</v>
      </c>
      <c r="AI53" s="200">
        <v>508701.93818400003</v>
      </c>
      <c r="AJ53" s="200">
        <v>0</v>
      </c>
      <c r="AK53" s="200">
        <v>0</v>
      </c>
      <c r="AL53" s="200">
        <v>18645.988679999999</v>
      </c>
      <c r="AM53" s="200">
        <v>5325.5526719999998</v>
      </c>
      <c r="AN53" s="200">
        <v>37648257.709925607</v>
      </c>
      <c r="AO53" s="200">
        <v>0</v>
      </c>
      <c r="AP53" s="200">
        <v>0</v>
      </c>
      <c r="AQ53" s="200">
        <v>0</v>
      </c>
      <c r="AR53" s="203">
        <f t="shared" si="5"/>
        <v>42889646.33529</v>
      </c>
      <c r="AS53" s="203">
        <f t="shared" si="6"/>
        <v>27294452.93995</v>
      </c>
      <c r="AT53" s="200">
        <v>24009433.123631999</v>
      </c>
      <c r="AU53" s="200">
        <v>0</v>
      </c>
      <c r="AV53" s="200">
        <v>0</v>
      </c>
      <c r="AW53" s="200">
        <v>0</v>
      </c>
      <c r="AX53" s="200">
        <v>3285019.8163199998</v>
      </c>
      <c r="AY53" s="200">
        <v>0</v>
      </c>
      <c r="AZ53" s="203">
        <f t="shared" si="7"/>
        <v>376482577.09925997</v>
      </c>
      <c r="BA53" s="200">
        <v>183817063.26643202</v>
      </c>
      <c r="BB53" s="200">
        <v>128168745.07528</v>
      </c>
      <c r="BC53" s="200">
        <v>0</v>
      </c>
      <c r="BD53" s="200">
        <v>12318067.559471998</v>
      </c>
      <c r="BE53" s="200">
        <v>740173.133776</v>
      </c>
      <c r="BF53" s="200">
        <v>51438528.064296</v>
      </c>
      <c r="BG53" s="200">
        <v>0</v>
      </c>
      <c r="BH53" s="200">
        <v>0</v>
      </c>
      <c r="BI53" s="200">
        <v>0</v>
      </c>
      <c r="BJ53" s="203">
        <f t="shared" si="8"/>
        <v>403777030.03921002</v>
      </c>
      <c r="BK53" s="203">
        <f t="shared" si="9"/>
        <v>-360887383.70392001</v>
      </c>
      <c r="BL53" s="203">
        <f>$BO$9+SUMPRODUCT($D$10:D53,$BK$10:BK53)</f>
        <v>155229479.32006884</v>
      </c>
      <c r="BM53" s="202">
        <f t="shared" si="10"/>
        <v>5.85</v>
      </c>
      <c r="BN53" s="203">
        <f t="shared" si="13"/>
        <v>124581418.30351999</v>
      </c>
      <c r="BO53" s="204">
        <f t="shared" si="11"/>
        <v>1893290928.67678</v>
      </c>
      <c r="BP53" s="201">
        <f t="shared" si="14"/>
        <v>33620408.427570634</v>
      </c>
      <c r="BQ53" s="201">
        <f t="shared" si="15"/>
        <v>1462487766.5993226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165">
        <f t="shared" si="19"/>
        <v>45</v>
      </c>
      <c r="B54" s="166">
        <f t="shared" si="19"/>
        <v>2064</v>
      </c>
      <c r="C54" s="29">
        <v>5.85</v>
      </c>
      <c r="D54" s="164">
        <f t="shared" si="16"/>
        <v>7.7429999999999999E-2</v>
      </c>
      <c r="E54" s="200">
        <v>0</v>
      </c>
      <c r="F54" s="203">
        <f t="shared" si="18"/>
        <v>364543.28380999999</v>
      </c>
      <c r="G54" s="200">
        <v>364543.28380799998</v>
      </c>
      <c r="H54" s="200">
        <v>0</v>
      </c>
      <c r="I54" s="200">
        <v>0</v>
      </c>
      <c r="J54" s="200">
        <v>0</v>
      </c>
      <c r="K54" s="200">
        <v>97987.096151999998</v>
      </c>
      <c r="L54" s="200">
        <v>37613.196011424399</v>
      </c>
      <c r="M54" s="203">
        <f t="shared" si="1"/>
        <v>0</v>
      </c>
      <c r="N54" s="200">
        <v>0</v>
      </c>
      <c r="O54" s="200">
        <v>0</v>
      </c>
      <c r="P54" s="200">
        <v>0</v>
      </c>
      <c r="Q54" s="200">
        <v>0</v>
      </c>
      <c r="R54" s="200">
        <v>0</v>
      </c>
      <c r="S54" s="200">
        <v>0</v>
      </c>
      <c r="T54" s="200">
        <v>0</v>
      </c>
      <c r="U54" s="203">
        <f t="shared" si="2"/>
        <v>0</v>
      </c>
      <c r="V54" s="200">
        <v>0</v>
      </c>
      <c r="W54" s="200">
        <v>0</v>
      </c>
      <c r="X54" s="200">
        <v>0</v>
      </c>
      <c r="Y54" s="200">
        <v>0</v>
      </c>
      <c r="Z54" s="200">
        <v>0</v>
      </c>
      <c r="AA54" s="200">
        <v>0</v>
      </c>
      <c r="AB54" s="200">
        <v>0</v>
      </c>
      <c r="AC54" s="203">
        <f t="shared" si="3"/>
        <v>3482038.8525100001</v>
      </c>
      <c r="AD54" s="200">
        <v>2617017.0557520003</v>
      </c>
      <c r="AE54" s="200">
        <v>767835.70591199992</v>
      </c>
      <c r="AF54" s="200">
        <v>0</v>
      </c>
      <c r="AG54" s="200">
        <v>97186.090848000007</v>
      </c>
      <c r="AH54" s="203">
        <f t="shared" si="4"/>
        <v>456951.84586</v>
      </c>
      <c r="AI54" s="200">
        <v>437096.77413600002</v>
      </c>
      <c r="AJ54" s="200">
        <v>0</v>
      </c>
      <c r="AK54" s="200">
        <v>0</v>
      </c>
      <c r="AL54" s="200">
        <v>16330.503815999999</v>
      </c>
      <c r="AM54" s="200">
        <v>3524.567904</v>
      </c>
      <c r="AN54" s="200">
        <v>34220697.308691196</v>
      </c>
      <c r="AO54" s="200">
        <v>0</v>
      </c>
      <c r="AP54" s="200">
        <v>0</v>
      </c>
      <c r="AQ54" s="200">
        <v>0</v>
      </c>
      <c r="AR54" s="203">
        <f t="shared" si="5"/>
        <v>38659831.58303</v>
      </c>
      <c r="AS54" s="203">
        <f t="shared" si="6"/>
        <v>21540445.448539998</v>
      </c>
      <c r="AT54" s="200">
        <v>18684413.843040001</v>
      </c>
      <c r="AU54" s="200">
        <v>0</v>
      </c>
      <c r="AV54" s="200">
        <v>0</v>
      </c>
      <c r="AW54" s="200">
        <v>0</v>
      </c>
      <c r="AX54" s="200">
        <v>2856031.6055039996</v>
      </c>
      <c r="AY54" s="200">
        <v>0</v>
      </c>
      <c r="AZ54" s="203">
        <f t="shared" si="7"/>
        <v>342206973.08691001</v>
      </c>
      <c r="BA54" s="200">
        <v>165369749.84770399</v>
      </c>
      <c r="BB54" s="200">
        <v>117656124.730896</v>
      </c>
      <c r="BC54" s="200">
        <v>0</v>
      </c>
      <c r="BD54" s="200">
        <v>11265075.802352</v>
      </c>
      <c r="BE54" s="200">
        <v>539385.72488799994</v>
      </c>
      <c r="BF54" s="200">
        <v>47376636.981071994</v>
      </c>
      <c r="BG54" s="200">
        <v>0</v>
      </c>
      <c r="BH54" s="200">
        <v>0</v>
      </c>
      <c r="BI54" s="200">
        <v>0</v>
      </c>
      <c r="BJ54" s="203">
        <f t="shared" si="8"/>
        <v>363747418.53544998</v>
      </c>
      <c r="BK54" s="203">
        <f t="shared" si="9"/>
        <v>-325087586.95242</v>
      </c>
      <c r="BL54" s="203">
        <f>$BO$9+SUMPRODUCT($D$10:D54,$BK$10:BK54)</f>
        <v>130057947.46234298</v>
      </c>
      <c r="BM54" s="202">
        <f t="shared" si="10"/>
        <v>5.85</v>
      </c>
      <c r="BN54" s="203">
        <f t="shared" si="13"/>
        <v>110757519.32759</v>
      </c>
      <c r="BO54" s="204">
        <f t="shared" si="11"/>
        <v>1678960861.05195</v>
      </c>
      <c r="BP54" s="201">
        <f t="shared" si="14"/>
        <v>28634376.056328963</v>
      </c>
      <c r="BQ54" s="201">
        <f t="shared" si="15"/>
        <v>1274229734.5066388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165">
        <f t="shared" si="19"/>
        <v>46</v>
      </c>
      <c r="B55" s="166">
        <f t="shared" si="19"/>
        <v>2065</v>
      </c>
      <c r="C55" s="29">
        <v>5.85</v>
      </c>
      <c r="D55" s="164">
        <f t="shared" si="16"/>
        <v>7.3150000000000007E-2</v>
      </c>
      <c r="E55" s="200">
        <v>0</v>
      </c>
      <c r="F55" s="203">
        <f t="shared" si="18"/>
        <v>267433.09032000002</v>
      </c>
      <c r="G55" s="200">
        <v>267433.09032000002</v>
      </c>
      <c r="H55" s="200">
        <v>0</v>
      </c>
      <c r="I55" s="200">
        <v>0</v>
      </c>
      <c r="J55" s="200">
        <v>0</v>
      </c>
      <c r="K55" s="200">
        <v>78097.221048000007</v>
      </c>
      <c r="L55" s="200">
        <v>28346.414085565622</v>
      </c>
      <c r="M55" s="203">
        <f t="shared" si="1"/>
        <v>0</v>
      </c>
      <c r="N55" s="200">
        <v>0</v>
      </c>
      <c r="O55" s="200">
        <v>0</v>
      </c>
      <c r="P55" s="200">
        <v>0</v>
      </c>
      <c r="Q55" s="200">
        <v>0</v>
      </c>
      <c r="R55" s="200">
        <v>0</v>
      </c>
      <c r="S55" s="200">
        <v>0</v>
      </c>
      <c r="T55" s="200">
        <v>0</v>
      </c>
      <c r="U55" s="203">
        <f t="shared" si="2"/>
        <v>0</v>
      </c>
      <c r="V55" s="200">
        <v>0</v>
      </c>
      <c r="W55" s="200">
        <v>0</v>
      </c>
      <c r="X55" s="200">
        <v>0</v>
      </c>
      <c r="Y55" s="200">
        <v>0</v>
      </c>
      <c r="Z55" s="200">
        <v>0</v>
      </c>
      <c r="AA55" s="200">
        <v>0</v>
      </c>
      <c r="AB55" s="200">
        <v>0</v>
      </c>
      <c r="AC55" s="203">
        <f t="shared" si="3"/>
        <v>2967076.0854199999</v>
      </c>
      <c r="AD55" s="200">
        <v>2208856.9462080002</v>
      </c>
      <c r="AE55" s="200">
        <v>673708.56194399996</v>
      </c>
      <c r="AF55" s="200">
        <v>0</v>
      </c>
      <c r="AG55" s="200">
        <v>84510.577271999995</v>
      </c>
      <c r="AH55" s="203">
        <f t="shared" si="4"/>
        <v>387916.69144999998</v>
      </c>
      <c r="AI55" s="200">
        <v>371467.80923999997</v>
      </c>
      <c r="AJ55" s="200">
        <v>0</v>
      </c>
      <c r="AK55" s="200">
        <v>0</v>
      </c>
      <c r="AL55" s="200">
        <v>14186.769695999999</v>
      </c>
      <c r="AM55" s="200">
        <v>2262.1125120000002</v>
      </c>
      <c r="AN55" s="200">
        <v>30950717.849948801</v>
      </c>
      <c r="AO55" s="200">
        <v>0</v>
      </c>
      <c r="AP55" s="200">
        <v>0</v>
      </c>
      <c r="AQ55" s="200">
        <v>0</v>
      </c>
      <c r="AR55" s="203">
        <f t="shared" si="5"/>
        <v>34679587.35227</v>
      </c>
      <c r="AS55" s="203">
        <f t="shared" si="6"/>
        <v>16791204.874219999</v>
      </c>
      <c r="AT55" s="200">
        <v>14316593.517336</v>
      </c>
      <c r="AU55" s="200">
        <v>0</v>
      </c>
      <c r="AV55" s="200">
        <v>0</v>
      </c>
      <c r="AW55" s="200">
        <v>0</v>
      </c>
      <c r="AX55" s="200">
        <v>2474611.3568879999</v>
      </c>
      <c r="AY55" s="200">
        <v>0</v>
      </c>
      <c r="AZ55" s="203">
        <f t="shared" si="7"/>
        <v>309507178.49949002</v>
      </c>
      <c r="BA55" s="200">
        <v>148086446.11263201</v>
      </c>
      <c r="BB55" s="200">
        <v>107418969.126096</v>
      </c>
      <c r="BC55" s="200">
        <v>0</v>
      </c>
      <c r="BD55" s="200">
        <v>10252978.696791999</v>
      </c>
      <c r="BE55" s="200">
        <v>386964.28348799993</v>
      </c>
      <c r="BF55" s="200">
        <v>43361820.280480005</v>
      </c>
      <c r="BG55" s="200">
        <v>0</v>
      </c>
      <c r="BH55" s="200">
        <v>0</v>
      </c>
      <c r="BI55" s="200">
        <v>0</v>
      </c>
      <c r="BJ55" s="203">
        <f t="shared" si="8"/>
        <v>326298383.37370998</v>
      </c>
      <c r="BK55" s="203">
        <f t="shared" si="9"/>
        <v>-291618796.02144003</v>
      </c>
      <c r="BL55" s="203">
        <f>$BO$9+SUMPRODUCT($D$10:D55,$BK$10:BK55)</f>
        <v>108726032.53337455</v>
      </c>
      <c r="BM55" s="202">
        <f t="shared" si="10"/>
        <v>5.85</v>
      </c>
      <c r="BN55" s="203">
        <f t="shared" si="13"/>
        <v>98219210.371539995</v>
      </c>
      <c r="BO55" s="204">
        <f t="shared" si="11"/>
        <v>1485561275.40205</v>
      </c>
      <c r="BP55" s="201">
        <f t="shared" si="14"/>
        <v>24284679.169335954</v>
      </c>
      <c r="BQ55" s="201">
        <f t="shared" si="15"/>
        <v>1104952902.2047858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165">
        <f t="shared" si="19"/>
        <v>47</v>
      </c>
      <c r="B56" s="166">
        <f t="shared" si="19"/>
        <v>2066</v>
      </c>
      <c r="C56" s="29">
        <v>5.85</v>
      </c>
      <c r="D56" s="164">
        <f t="shared" si="16"/>
        <v>6.9110000000000005E-2</v>
      </c>
      <c r="E56" s="200">
        <v>0</v>
      </c>
      <c r="F56" s="203">
        <f t="shared" si="18"/>
        <v>191820.96569000001</v>
      </c>
      <c r="G56" s="200">
        <v>191820.965688</v>
      </c>
      <c r="H56" s="200">
        <v>0</v>
      </c>
      <c r="I56" s="200">
        <v>0</v>
      </c>
      <c r="J56" s="200">
        <v>0</v>
      </c>
      <c r="K56" s="200">
        <v>61993.295759999994</v>
      </c>
      <c r="L56" s="200">
        <v>21569.071396919175</v>
      </c>
      <c r="M56" s="203">
        <f t="shared" si="1"/>
        <v>0</v>
      </c>
      <c r="N56" s="200">
        <v>0</v>
      </c>
      <c r="O56" s="200">
        <v>0</v>
      </c>
      <c r="P56" s="200">
        <v>0</v>
      </c>
      <c r="Q56" s="200">
        <v>0</v>
      </c>
      <c r="R56" s="200">
        <v>0</v>
      </c>
      <c r="S56" s="200">
        <v>0</v>
      </c>
      <c r="T56" s="200">
        <v>0</v>
      </c>
      <c r="U56" s="203">
        <f t="shared" si="2"/>
        <v>0</v>
      </c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200">
        <v>0</v>
      </c>
      <c r="AB56" s="200">
        <v>0</v>
      </c>
      <c r="AC56" s="203">
        <f t="shared" si="3"/>
        <v>2503944.9343900001</v>
      </c>
      <c r="AD56" s="200">
        <v>1845770.618208</v>
      </c>
      <c r="AE56" s="200">
        <v>585204.85557599994</v>
      </c>
      <c r="AF56" s="200">
        <v>0</v>
      </c>
      <c r="AG56" s="200">
        <v>72969.460607999994</v>
      </c>
      <c r="AH56" s="203">
        <f t="shared" si="4"/>
        <v>325757.59366000001</v>
      </c>
      <c r="AI56" s="200">
        <v>312129.56332800002</v>
      </c>
      <c r="AJ56" s="200">
        <v>0</v>
      </c>
      <c r="AK56" s="200">
        <v>0</v>
      </c>
      <c r="AL56" s="200">
        <v>12223.919400000001</v>
      </c>
      <c r="AM56" s="200">
        <v>1404.1109280000001</v>
      </c>
      <c r="AN56" s="200">
        <v>27849856.376647204</v>
      </c>
      <c r="AO56" s="200">
        <v>0</v>
      </c>
      <c r="AP56" s="200">
        <v>0</v>
      </c>
      <c r="AQ56" s="200">
        <v>0</v>
      </c>
      <c r="AR56" s="203">
        <f t="shared" si="5"/>
        <v>30954942.237539999</v>
      </c>
      <c r="AS56" s="203">
        <f t="shared" si="6"/>
        <v>12921858.13063</v>
      </c>
      <c r="AT56" s="200">
        <v>10785278.689679999</v>
      </c>
      <c r="AU56" s="200">
        <v>0</v>
      </c>
      <c r="AV56" s="200">
        <v>0</v>
      </c>
      <c r="AW56" s="200">
        <v>0</v>
      </c>
      <c r="AX56" s="200">
        <v>2136579.4409520002</v>
      </c>
      <c r="AY56" s="200">
        <v>0</v>
      </c>
      <c r="AZ56" s="203">
        <f t="shared" si="7"/>
        <v>278498563.76647002</v>
      </c>
      <c r="BA56" s="200">
        <v>131992754.93125601</v>
      </c>
      <c r="BB56" s="200">
        <v>97511289.934735999</v>
      </c>
      <c r="BC56" s="200">
        <v>0</v>
      </c>
      <c r="BD56" s="200">
        <v>9285564.140656</v>
      </c>
      <c r="BE56" s="200">
        <v>273127.66623999999</v>
      </c>
      <c r="BF56" s="200">
        <v>39435827.093584009</v>
      </c>
      <c r="BG56" s="200">
        <v>0</v>
      </c>
      <c r="BH56" s="200">
        <v>0</v>
      </c>
      <c r="BI56" s="200">
        <v>0</v>
      </c>
      <c r="BJ56" s="203">
        <f t="shared" si="8"/>
        <v>291420421.89709997</v>
      </c>
      <c r="BK56" s="203">
        <f t="shared" si="9"/>
        <v>-260465479.65955999</v>
      </c>
      <c r="BL56" s="203">
        <f>$BO$9+SUMPRODUCT($D$10:D56,$BK$10:BK56)</f>
        <v>90725263.234102249</v>
      </c>
      <c r="BM56" s="202">
        <f t="shared" si="10"/>
        <v>5.85</v>
      </c>
      <c r="BN56" s="203">
        <f t="shared" si="13"/>
        <v>86905334.611019999</v>
      </c>
      <c r="BO56" s="204">
        <f t="shared" si="11"/>
        <v>1312001130.3535099</v>
      </c>
      <c r="BP56" s="201">
        <f t="shared" si="14"/>
        <v>20505411.904719286</v>
      </c>
      <c r="BQ56" s="201">
        <f t="shared" si="15"/>
        <v>953501653.5694468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165">
        <f t="shared" si="19"/>
        <v>48</v>
      </c>
      <c r="B57" s="166">
        <f t="shared" si="19"/>
        <v>2067</v>
      </c>
      <c r="C57" s="29">
        <v>5.85</v>
      </c>
      <c r="D57" s="164">
        <f t="shared" si="16"/>
        <v>6.5290000000000001E-2</v>
      </c>
      <c r="E57" s="200">
        <v>0</v>
      </c>
      <c r="F57" s="203">
        <f t="shared" si="18"/>
        <v>134214.25406000001</v>
      </c>
      <c r="G57" s="200">
        <v>134214.25406400001</v>
      </c>
      <c r="H57" s="200">
        <v>0</v>
      </c>
      <c r="I57" s="200">
        <v>0</v>
      </c>
      <c r="J57" s="200">
        <v>0</v>
      </c>
      <c r="K57" s="200">
        <v>49097.035152000004</v>
      </c>
      <c r="L57" s="200">
        <v>16482.655608529283</v>
      </c>
      <c r="M57" s="203">
        <f t="shared" si="1"/>
        <v>0</v>
      </c>
      <c r="N57" s="200">
        <v>0</v>
      </c>
      <c r="O57" s="200">
        <v>0</v>
      </c>
      <c r="P57" s="200">
        <v>0</v>
      </c>
      <c r="Q57" s="200">
        <v>0</v>
      </c>
      <c r="R57" s="200">
        <v>0</v>
      </c>
      <c r="S57" s="200">
        <v>0</v>
      </c>
      <c r="T57" s="200">
        <v>0</v>
      </c>
      <c r="U57" s="203">
        <f t="shared" si="2"/>
        <v>0</v>
      </c>
      <c r="V57" s="200">
        <v>0</v>
      </c>
      <c r="W57" s="200">
        <v>0</v>
      </c>
      <c r="X57" s="200">
        <v>0</v>
      </c>
      <c r="Y57" s="200">
        <v>0</v>
      </c>
      <c r="Z57" s="200">
        <v>0</v>
      </c>
      <c r="AA57" s="200">
        <v>0</v>
      </c>
      <c r="AB57" s="200">
        <v>0</v>
      </c>
      <c r="AC57" s="203">
        <f t="shared" si="3"/>
        <v>2091870.80678</v>
      </c>
      <c r="AD57" s="200">
        <v>1526602.224312</v>
      </c>
      <c r="AE57" s="200">
        <v>502719.12609599996</v>
      </c>
      <c r="AF57" s="200">
        <v>0</v>
      </c>
      <c r="AG57" s="200">
        <v>62549.456376000002</v>
      </c>
      <c r="AH57" s="203">
        <f t="shared" si="4"/>
        <v>270502.93829000002</v>
      </c>
      <c r="AI57" s="200">
        <v>259216.952016</v>
      </c>
      <c r="AJ57" s="200">
        <v>0</v>
      </c>
      <c r="AK57" s="200">
        <v>0</v>
      </c>
      <c r="AL57" s="200">
        <v>10445.586624</v>
      </c>
      <c r="AM57" s="200">
        <v>840.39964800000007</v>
      </c>
      <c r="AN57" s="200">
        <v>24927468.030095205</v>
      </c>
      <c r="AO57" s="200">
        <v>0</v>
      </c>
      <c r="AP57" s="200">
        <v>0</v>
      </c>
      <c r="AQ57" s="200">
        <v>0</v>
      </c>
      <c r="AR57" s="203">
        <f t="shared" si="5"/>
        <v>27489635.71999</v>
      </c>
      <c r="AS57" s="203">
        <f t="shared" si="6"/>
        <v>9813610.8359500002</v>
      </c>
      <c r="AT57" s="200">
        <v>7975674.798432</v>
      </c>
      <c r="AU57" s="200">
        <v>0</v>
      </c>
      <c r="AV57" s="200">
        <v>0</v>
      </c>
      <c r="AW57" s="200">
        <v>0</v>
      </c>
      <c r="AX57" s="200">
        <v>1837936.03752</v>
      </c>
      <c r="AY57" s="200">
        <v>0</v>
      </c>
      <c r="AZ57" s="203">
        <f t="shared" si="7"/>
        <v>249274680.30094999</v>
      </c>
      <c r="BA57" s="200">
        <v>117099894.03884001</v>
      </c>
      <c r="BB57" s="200">
        <v>87983832.24130401</v>
      </c>
      <c r="BC57" s="200">
        <v>0</v>
      </c>
      <c r="BD57" s="200">
        <v>8366088.3353359997</v>
      </c>
      <c r="BE57" s="200">
        <v>189515.50333599999</v>
      </c>
      <c r="BF57" s="200">
        <v>35635350.182136007</v>
      </c>
      <c r="BG57" s="200">
        <v>0</v>
      </c>
      <c r="BH57" s="200">
        <v>0</v>
      </c>
      <c r="BI57" s="200">
        <v>0</v>
      </c>
      <c r="BJ57" s="203">
        <f t="shared" si="8"/>
        <v>259088291.13690001</v>
      </c>
      <c r="BK57" s="203">
        <f t="shared" si="9"/>
        <v>-231598655.41690999</v>
      </c>
      <c r="BL57" s="203">
        <f>$BO$9+SUMPRODUCT($D$10:D57,$BK$10:BK57)</f>
        <v>75604187.021932125</v>
      </c>
      <c r="BM57" s="202">
        <f t="shared" si="10"/>
        <v>5.85</v>
      </c>
      <c r="BN57" s="203">
        <f t="shared" si="13"/>
        <v>76752066.12568</v>
      </c>
      <c r="BO57" s="204">
        <f t="shared" si="11"/>
        <v>1157154541.0622799</v>
      </c>
      <c r="BP57" s="201">
        <f t="shared" si="14"/>
        <v>17235609.564421527</v>
      </c>
      <c r="BQ57" s="201">
        <f t="shared" si="15"/>
        <v>818691454.31002259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165">
        <f t="shared" si="19"/>
        <v>49</v>
      </c>
      <c r="B58" s="166">
        <f t="shared" si="19"/>
        <v>2068</v>
      </c>
      <c r="C58" s="29">
        <v>5.85</v>
      </c>
      <c r="D58" s="164">
        <f t="shared" si="16"/>
        <v>6.1679999999999999E-2</v>
      </c>
      <c r="E58" s="200">
        <v>0</v>
      </c>
      <c r="F58" s="203">
        <f t="shared" si="18"/>
        <v>91436.870710000003</v>
      </c>
      <c r="G58" s="200">
        <v>91436.870712000004</v>
      </c>
      <c r="H58" s="200">
        <v>0</v>
      </c>
      <c r="I58" s="200">
        <v>0</v>
      </c>
      <c r="J58" s="200">
        <v>0</v>
      </c>
      <c r="K58" s="200">
        <v>38837.157744000004</v>
      </c>
      <c r="L58" s="200">
        <v>12575.907062946006</v>
      </c>
      <c r="M58" s="203">
        <f t="shared" si="1"/>
        <v>0</v>
      </c>
      <c r="N58" s="200">
        <v>0</v>
      </c>
      <c r="O58" s="200">
        <v>0</v>
      </c>
      <c r="P58" s="200">
        <v>0</v>
      </c>
      <c r="Q58" s="200">
        <v>0</v>
      </c>
      <c r="R58" s="200">
        <v>0</v>
      </c>
      <c r="S58" s="200">
        <v>0</v>
      </c>
      <c r="T58" s="200">
        <v>0</v>
      </c>
      <c r="U58" s="203">
        <f t="shared" si="2"/>
        <v>0</v>
      </c>
      <c r="V58" s="200">
        <v>0</v>
      </c>
      <c r="W58" s="200">
        <v>0</v>
      </c>
      <c r="X58" s="200">
        <v>0</v>
      </c>
      <c r="Y58" s="200">
        <v>0</v>
      </c>
      <c r="Z58" s="200">
        <v>0</v>
      </c>
      <c r="AA58" s="200">
        <v>0</v>
      </c>
      <c r="AB58" s="200">
        <v>0</v>
      </c>
      <c r="AC58" s="203">
        <f t="shared" si="3"/>
        <v>1729291.74079</v>
      </c>
      <c r="AD58" s="200">
        <v>1249505.9348640002</v>
      </c>
      <c r="AE58" s="200">
        <v>426566.52825599996</v>
      </c>
      <c r="AF58" s="200">
        <v>0</v>
      </c>
      <c r="AG58" s="200">
        <v>53219.277672000004</v>
      </c>
      <c r="AH58" s="203">
        <f t="shared" si="4"/>
        <v>222006.43001000001</v>
      </c>
      <c r="AI58" s="200">
        <v>212671.845936</v>
      </c>
      <c r="AJ58" s="200">
        <v>0</v>
      </c>
      <c r="AK58" s="200">
        <v>0</v>
      </c>
      <c r="AL58" s="200">
        <v>8851.0387680000003</v>
      </c>
      <c r="AM58" s="200">
        <v>483.54530399999999</v>
      </c>
      <c r="AN58" s="200">
        <v>22190498.629468799</v>
      </c>
      <c r="AO58" s="200">
        <v>0</v>
      </c>
      <c r="AP58" s="200">
        <v>0</v>
      </c>
      <c r="AQ58" s="200">
        <v>0</v>
      </c>
      <c r="AR58" s="203">
        <f t="shared" si="5"/>
        <v>24284646.735789999</v>
      </c>
      <c r="AS58" s="203">
        <f t="shared" si="6"/>
        <v>7354769.9443699997</v>
      </c>
      <c r="AT58" s="200">
        <v>5780102.6154960012</v>
      </c>
      <c r="AU58" s="200">
        <v>0</v>
      </c>
      <c r="AV58" s="200">
        <v>0</v>
      </c>
      <c r="AW58" s="200">
        <v>0</v>
      </c>
      <c r="AX58" s="200">
        <v>1574667.3288720001</v>
      </c>
      <c r="AY58" s="200">
        <v>0</v>
      </c>
      <c r="AZ58" s="203">
        <f t="shared" si="7"/>
        <v>221904986.29469001</v>
      </c>
      <c r="BA58" s="200">
        <v>103403814.693648</v>
      </c>
      <c r="BB58" s="200">
        <v>78883390.375128001</v>
      </c>
      <c r="BC58" s="200">
        <v>0</v>
      </c>
      <c r="BD58" s="200">
        <v>7497197.7308719996</v>
      </c>
      <c r="BE58" s="200">
        <v>129148.978288</v>
      </c>
      <c r="BF58" s="200">
        <v>31991434.516752001</v>
      </c>
      <c r="BG58" s="200">
        <v>0</v>
      </c>
      <c r="BH58" s="200">
        <v>0</v>
      </c>
      <c r="BI58" s="200">
        <v>0</v>
      </c>
      <c r="BJ58" s="203">
        <f t="shared" si="8"/>
        <v>229259756.23906001</v>
      </c>
      <c r="BK58" s="203">
        <f t="shared" si="9"/>
        <v>-204975109.50327</v>
      </c>
      <c r="BL58" s="203">
        <f>$BO$9+SUMPRODUCT($D$10:D58,$BK$10:BK58)</f>
        <v>62961322.267770529</v>
      </c>
      <c r="BM58" s="202">
        <f t="shared" si="10"/>
        <v>5.85</v>
      </c>
      <c r="BN58" s="203">
        <f t="shared" si="13"/>
        <v>67693540.652140006</v>
      </c>
      <c r="BO58" s="204">
        <f t="shared" si="11"/>
        <v>1019872972.2111501</v>
      </c>
      <c r="BP58" s="201">
        <f t="shared" si="14"/>
        <v>14418963.342754142</v>
      </c>
      <c r="BQ58" s="201">
        <f t="shared" si="15"/>
        <v>699319722.12357593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165">
        <f t="shared" ref="A59:B74" si="20">A58+1</f>
        <v>50</v>
      </c>
      <c r="B59" s="166">
        <f t="shared" si="20"/>
        <v>2069</v>
      </c>
      <c r="C59" s="29">
        <v>5.85</v>
      </c>
      <c r="D59" s="164">
        <f t="shared" si="16"/>
        <v>5.8270000000000002E-2</v>
      </c>
      <c r="E59" s="200">
        <v>0</v>
      </c>
      <c r="F59" s="203">
        <f t="shared" si="18"/>
        <v>60572.696450000003</v>
      </c>
      <c r="G59" s="200">
        <v>60572.696448000002</v>
      </c>
      <c r="H59" s="200">
        <v>0</v>
      </c>
      <c r="I59" s="200">
        <v>0</v>
      </c>
      <c r="J59" s="200">
        <v>0</v>
      </c>
      <c r="K59" s="200">
        <v>30704.692128000002</v>
      </c>
      <c r="L59" s="200">
        <v>9537.6436509454543</v>
      </c>
      <c r="M59" s="203">
        <f t="shared" si="1"/>
        <v>0</v>
      </c>
      <c r="N59" s="200">
        <v>0</v>
      </c>
      <c r="O59" s="200">
        <v>0</v>
      </c>
      <c r="P59" s="200">
        <v>0</v>
      </c>
      <c r="Q59" s="200">
        <v>0</v>
      </c>
      <c r="R59" s="200">
        <v>0</v>
      </c>
      <c r="S59" s="200">
        <v>0</v>
      </c>
      <c r="T59" s="200">
        <v>0</v>
      </c>
      <c r="U59" s="203">
        <f t="shared" si="2"/>
        <v>0</v>
      </c>
      <c r="V59" s="200">
        <v>0</v>
      </c>
      <c r="W59" s="200">
        <v>0</v>
      </c>
      <c r="X59" s="200">
        <v>0</v>
      </c>
      <c r="Y59" s="200">
        <v>0</v>
      </c>
      <c r="Z59" s="200">
        <v>0</v>
      </c>
      <c r="AA59" s="200">
        <v>0</v>
      </c>
      <c r="AB59" s="200">
        <v>0</v>
      </c>
      <c r="AC59" s="203">
        <f t="shared" si="3"/>
        <v>1413877.8242200001</v>
      </c>
      <c r="AD59" s="200">
        <v>1011941.229816</v>
      </c>
      <c r="AE59" s="200">
        <v>357003.755328</v>
      </c>
      <c r="AF59" s="200">
        <v>0</v>
      </c>
      <c r="AG59" s="200">
        <v>44932.839072000002</v>
      </c>
      <c r="AH59" s="203">
        <f t="shared" si="4"/>
        <v>180005.10449</v>
      </c>
      <c r="AI59" s="200">
        <v>172302.59692799998</v>
      </c>
      <c r="AJ59" s="200">
        <v>0</v>
      </c>
      <c r="AK59" s="200">
        <v>0</v>
      </c>
      <c r="AL59" s="200">
        <v>7435.919304</v>
      </c>
      <c r="AM59" s="200">
        <v>266.588256</v>
      </c>
      <c r="AN59" s="200">
        <v>19643372.130956799</v>
      </c>
      <c r="AO59" s="200">
        <v>0</v>
      </c>
      <c r="AP59" s="200">
        <v>0</v>
      </c>
      <c r="AQ59" s="200">
        <v>0</v>
      </c>
      <c r="AR59" s="203">
        <f t="shared" si="5"/>
        <v>21338070.091899998</v>
      </c>
      <c r="AS59" s="203">
        <f t="shared" si="6"/>
        <v>5441163.1253800001</v>
      </c>
      <c r="AT59" s="200">
        <v>4098178.0361280004</v>
      </c>
      <c r="AU59" s="200">
        <v>0</v>
      </c>
      <c r="AV59" s="200">
        <v>0</v>
      </c>
      <c r="AW59" s="200">
        <v>0</v>
      </c>
      <c r="AX59" s="200">
        <v>1342985.0892480002</v>
      </c>
      <c r="AY59" s="200">
        <v>0</v>
      </c>
      <c r="AZ59" s="203">
        <f t="shared" si="7"/>
        <v>196433721.30957001</v>
      </c>
      <c r="BA59" s="200">
        <v>90884135.957376003</v>
      </c>
      <c r="BB59" s="200">
        <v>70252176.624168009</v>
      </c>
      <c r="BC59" s="200">
        <v>0</v>
      </c>
      <c r="BD59" s="200">
        <v>6680889.3619839996</v>
      </c>
      <c r="BE59" s="200">
        <v>86334.052288000006</v>
      </c>
      <c r="BF59" s="200">
        <v>28530185.313751999</v>
      </c>
      <c r="BG59" s="200">
        <v>0</v>
      </c>
      <c r="BH59" s="200">
        <v>0</v>
      </c>
      <c r="BI59" s="200">
        <v>0</v>
      </c>
      <c r="BJ59" s="203">
        <f t="shared" si="8"/>
        <v>201874884.43494999</v>
      </c>
      <c r="BK59" s="203">
        <f t="shared" si="9"/>
        <v>-180536814.34305</v>
      </c>
      <c r="BL59" s="203">
        <f>$BO$9+SUMPRODUCT($D$10:D59,$BK$10:BK59)</f>
        <v>52441442.09600091</v>
      </c>
      <c r="BM59" s="202">
        <f t="shared" si="10"/>
        <v>5.85</v>
      </c>
      <c r="BN59" s="203">
        <f t="shared" si="13"/>
        <v>59662568.874349996</v>
      </c>
      <c r="BO59" s="204">
        <f t="shared" si="11"/>
        <v>898998726.74245</v>
      </c>
      <c r="BP59" s="201">
        <f t="shared" si="14"/>
        <v>12003577.493779881</v>
      </c>
      <c r="BQ59" s="201">
        <f t="shared" si="15"/>
        <v>594177085.9421041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165">
        <f t="shared" si="20"/>
        <v>51</v>
      </c>
      <c r="B60" s="166">
        <f t="shared" si="20"/>
        <v>2070</v>
      </c>
      <c r="C60" s="29">
        <v>5.85</v>
      </c>
      <c r="D60" s="164">
        <f t="shared" si="16"/>
        <v>5.5050000000000002E-2</v>
      </c>
      <c r="E60" s="200">
        <v>0</v>
      </c>
      <c r="F60" s="203">
        <f t="shared" si="18"/>
        <v>38929.83653</v>
      </c>
      <c r="G60" s="200">
        <v>38929.836528</v>
      </c>
      <c r="H60" s="200">
        <v>0</v>
      </c>
      <c r="I60" s="200">
        <v>0</v>
      </c>
      <c r="J60" s="200">
        <v>0</v>
      </c>
      <c r="K60" s="200">
        <v>24278.784023999997</v>
      </c>
      <c r="L60" s="200">
        <v>7175.3189018678977</v>
      </c>
      <c r="M60" s="203">
        <f t="shared" si="1"/>
        <v>0</v>
      </c>
      <c r="N60" s="200">
        <v>0</v>
      </c>
      <c r="O60" s="200">
        <v>0</v>
      </c>
      <c r="P60" s="200">
        <v>0</v>
      </c>
      <c r="Q60" s="200">
        <v>0</v>
      </c>
      <c r="R60" s="200">
        <v>0</v>
      </c>
      <c r="S60" s="200">
        <v>0</v>
      </c>
      <c r="T60" s="200">
        <v>0</v>
      </c>
      <c r="U60" s="203">
        <f t="shared" si="2"/>
        <v>0</v>
      </c>
      <c r="V60" s="200">
        <v>0</v>
      </c>
      <c r="W60" s="200">
        <v>0</v>
      </c>
      <c r="X60" s="200">
        <v>0</v>
      </c>
      <c r="Y60" s="200">
        <v>0</v>
      </c>
      <c r="Z60" s="200">
        <v>0</v>
      </c>
      <c r="AA60" s="200">
        <v>0</v>
      </c>
      <c r="AB60" s="200">
        <v>0</v>
      </c>
      <c r="AC60" s="203">
        <f t="shared" si="3"/>
        <v>1142691.2138400001</v>
      </c>
      <c r="AD60" s="200">
        <v>810836.60063999996</v>
      </c>
      <c r="AE60" s="200">
        <v>294219.310176</v>
      </c>
      <c r="AF60" s="200">
        <v>0</v>
      </c>
      <c r="AG60" s="200">
        <v>37635.303024000001</v>
      </c>
      <c r="AH60" s="203">
        <f t="shared" si="4"/>
        <v>144122.12205999999</v>
      </c>
      <c r="AI60" s="200">
        <v>137789.342064</v>
      </c>
      <c r="AJ60" s="200">
        <v>0</v>
      </c>
      <c r="AK60" s="200">
        <v>0</v>
      </c>
      <c r="AL60" s="200">
        <v>6192.4431360000008</v>
      </c>
      <c r="AM60" s="200">
        <v>140.33685599999998</v>
      </c>
      <c r="AN60" s="200">
        <v>17288032.471505601</v>
      </c>
      <c r="AO60" s="200">
        <v>0</v>
      </c>
      <c r="AP60" s="200">
        <v>0</v>
      </c>
      <c r="AQ60" s="200">
        <v>0</v>
      </c>
      <c r="AR60" s="203">
        <f t="shared" si="5"/>
        <v>18645229.746860001</v>
      </c>
      <c r="AS60" s="203">
        <f t="shared" si="6"/>
        <v>3976411.47658</v>
      </c>
      <c r="AT60" s="200">
        <v>2836885.065432</v>
      </c>
      <c r="AU60" s="200">
        <v>0</v>
      </c>
      <c r="AV60" s="200">
        <v>0</v>
      </c>
      <c r="AW60" s="200">
        <v>0</v>
      </c>
      <c r="AX60" s="200">
        <v>1139526.411144</v>
      </c>
      <c r="AY60" s="200">
        <v>0</v>
      </c>
      <c r="AZ60" s="203">
        <f t="shared" si="7"/>
        <v>172880324.71506</v>
      </c>
      <c r="BA60" s="200">
        <v>79505806.123679996</v>
      </c>
      <c r="BB60" s="200">
        <v>62127257.411551997</v>
      </c>
      <c r="BC60" s="200">
        <v>0</v>
      </c>
      <c r="BD60" s="200">
        <v>5918534.7041999996</v>
      </c>
      <c r="BE60" s="200">
        <v>56527.707264000004</v>
      </c>
      <c r="BF60" s="200">
        <v>25272198.76836</v>
      </c>
      <c r="BG60" s="200">
        <v>0</v>
      </c>
      <c r="BH60" s="200">
        <v>0</v>
      </c>
      <c r="BI60" s="200">
        <v>0</v>
      </c>
      <c r="BJ60" s="203">
        <f t="shared" si="8"/>
        <v>176856736.19163999</v>
      </c>
      <c r="BK60" s="203">
        <f t="shared" si="9"/>
        <v>-158211506.44477999</v>
      </c>
      <c r="BL60" s="203">
        <f>$BO$9+SUMPRODUCT($D$10:D60,$BK$10:BK60)</f>
        <v>43731898.666215658</v>
      </c>
      <c r="BM60" s="202">
        <f t="shared" si="10"/>
        <v>5.85</v>
      </c>
      <c r="BN60" s="203">
        <f t="shared" si="13"/>
        <v>52591425.514430001</v>
      </c>
      <c r="BO60" s="204">
        <f t="shared" si="11"/>
        <v>793378645.81210005</v>
      </c>
      <c r="BP60" s="201">
        <f t="shared" si="14"/>
        <v>9941805.4628751706</v>
      </c>
      <c r="BQ60" s="201">
        <f t="shared" si="15"/>
        <v>502061175.8751961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165">
        <f t="shared" si="20"/>
        <v>52</v>
      </c>
      <c r="B61" s="166">
        <f t="shared" si="20"/>
        <v>2071</v>
      </c>
      <c r="C61" s="29">
        <v>5.85</v>
      </c>
      <c r="D61" s="164">
        <f t="shared" si="16"/>
        <v>5.2010000000000001E-2</v>
      </c>
      <c r="E61" s="200">
        <v>0</v>
      </c>
      <c r="F61" s="203">
        <f t="shared" si="18"/>
        <v>24186.476419999999</v>
      </c>
      <c r="G61" s="200">
        <v>24186.476424</v>
      </c>
      <c r="H61" s="200">
        <v>0</v>
      </c>
      <c r="I61" s="200">
        <v>0</v>
      </c>
      <c r="J61" s="200">
        <v>0</v>
      </c>
      <c r="K61" s="200">
        <v>19188.503400000001</v>
      </c>
      <c r="L61" s="200">
        <v>5347.9475609416349</v>
      </c>
      <c r="M61" s="203">
        <f t="shared" si="1"/>
        <v>0</v>
      </c>
      <c r="N61" s="200">
        <v>0</v>
      </c>
      <c r="O61" s="200">
        <v>0</v>
      </c>
      <c r="P61" s="200">
        <v>0</v>
      </c>
      <c r="Q61" s="200">
        <v>0</v>
      </c>
      <c r="R61" s="200">
        <v>0</v>
      </c>
      <c r="S61" s="200">
        <v>0</v>
      </c>
      <c r="T61" s="200">
        <v>0</v>
      </c>
      <c r="U61" s="203">
        <f t="shared" si="2"/>
        <v>0</v>
      </c>
      <c r="V61" s="200">
        <v>0</v>
      </c>
      <c r="W61" s="200">
        <v>0</v>
      </c>
      <c r="X61" s="200">
        <v>0</v>
      </c>
      <c r="Y61" s="200">
        <v>0</v>
      </c>
      <c r="Z61" s="200">
        <v>0</v>
      </c>
      <c r="AA61" s="200">
        <v>0</v>
      </c>
      <c r="AB61" s="200">
        <v>0</v>
      </c>
      <c r="AC61" s="203">
        <f t="shared" si="3"/>
        <v>912436.37205999997</v>
      </c>
      <c r="AD61" s="200">
        <v>642847.39622400003</v>
      </c>
      <c r="AE61" s="200">
        <v>238323.87400799998</v>
      </c>
      <c r="AF61" s="200">
        <v>0</v>
      </c>
      <c r="AG61" s="200">
        <v>31265.101824000001</v>
      </c>
      <c r="AH61" s="203">
        <f t="shared" si="4"/>
        <v>113912.84335</v>
      </c>
      <c r="AI61" s="200">
        <v>108731.046336</v>
      </c>
      <c r="AJ61" s="200">
        <v>0</v>
      </c>
      <c r="AK61" s="200">
        <v>0</v>
      </c>
      <c r="AL61" s="200">
        <v>5111.4869520000002</v>
      </c>
      <c r="AM61" s="200">
        <v>70.310063999999997</v>
      </c>
      <c r="AN61" s="200">
        <v>15124134.427526399</v>
      </c>
      <c r="AO61" s="200">
        <v>0</v>
      </c>
      <c r="AP61" s="200">
        <v>0</v>
      </c>
      <c r="AQ61" s="200">
        <v>0</v>
      </c>
      <c r="AR61" s="203">
        <f t="shared" si="5"/>
        <v>16199206.570320001</v>
      </c>
      <c r="AS61" s="203">
        <f t="shared" si="6"/>
        <v>2874619.6699399999</v>
      </c>
      <c r="AT61" s="200">
        <v>1913182.5849840001</v>
      </c>
      <c r="AU61" s="200">
        <v>0</v>
      </c>
      <c r="AV61" s="200">
        <v>0</v>
      </c>
      <c r="AW61" s="200">
        <v>0</v>
      </c>
      <c r="AX61" s="200">
        <v>961437.08496000001</v>
      </c>
      <c r="AY61" s="200">
        <v>0</v>
      </c>
      <c r="AZ61" s="203">
        <f t="shared" si="7"/>
        <v>151241344.27526</v>
      </c>
      <c r="BA61" s="200">
        <v>69222417.215120003</v>
      </c>
      <c r="BB61" s="200">
        <v>54539667.499663994</v>
      </c>
      <c r="BC61" s="200">
        <v>0</v>
      </c>
      <c r="BD61" s="200">
        <v>5210917.1943279998</v>
      </c>
      <c r="BE61" s="200">
        <v>36183.720055999998</v>
      </c>
      <c r="BF61" s="200">
        <v>22232158.646095999</v>
      </c>
      <c r="BG61" s="200">
        <v>0</v>
      </c>
      <c r="BH61" s="200">
        <v>0</v>
      </c>
      <c r="BI61" s="200">
        <v>0</v>
      </c>
      <c r="BJ61" s="203">
        <f t="shared" si="8"/>
        <v>154115963.9452</v>
      </c>
      <c r="BK61" s="203">
        <f t="shared" si="9"/>
        <v>-137916757.37487999</v>
      </c>
      <c r="BL61" s="203">
        <f>$BO$9+SUMPRODUCT($D$10:D61,$BK$10:BK61)</f>
        <v>36558848.115148067</v>
      </c>
      <c r="BM61" s="202">
        <f t="shared" si="10"/>
        <v>5.85</v>
      </c>
      <c r="BN61" s="203">
        <f t="shared" si="13"/>
        <v>46412650.78001</v>
      </c>
      <c r="BO61" s="204">
        <f t="shared" si="11"/>
        <v>701874539.21722996</v>
      </c>
      <c r="BP61" s="201">
        <f t="shared" si="14"/>
        <v>8190260.2064287178</v>
      </c>
      <c r="BQ61" s="201">
        <f t="shared" si="15"/>
        <v>421798400.63107896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 s="165">
        <f t="shared" si="20"/>
        <v>53</v>
      </c>
      <c r="B62" s="166">
        <f t="shared" si="20"/>
        <v>2072</v>
      </c>
      <c r="C62" s="29">
        <v>5.85</v>
      </c>
      <c r="D62" s="164">
        <f t="shared" si="16"/>
        <v>4.9140000000000003E-2</v>
      </c>
      <c r="E62" s="200">
        <v>0</v>
      </c>
      <c r="F62" s="203">
        <f t="shared" si="18"/>
        <v>14439.93672</v>
      </c>
      <c r="G62" s="200">
        <v>14439.93672</v>
      </c>
      <c r="H62" s="200">
        <v>0</v>
      </c>
      <c r="I62" s="200">
        <v>0</v>
      </c>
      <c r="J62" s="200">
        <v>0</v>
      </c>
      <c r="K62" s="200">
        <v>15141.171672</v>
      </c>
      <c r="L62" s="200">
        <v>3941.6214562076457</v>
      </c>
      <c r="M62" s="203">
        <f t="shared" si="1"/>
        <v>0</v>
      </c>
      <c r="N62" s="200">
        <v>0</v>
      </c>
      <c r="O62" s="200">
        <v>0</v>
      </c>
      <c r="P62" s="200">
        <v>0</v>
      </c>
      <c r="Q62" s="200">
        <v>0</v>
      </c>
      <c r="R62" s="200">
        <v>0</v>
      </c>
      <c r="S62" s="200">
        <v>0</v>
      </c>
      <c r="T62" s="200">
        <v>0</v>
      </c>
      <c r="U62" s="203">
        <f t="shared" si="2"/>
        <v>0</v>
      </c>
      <c r="V62" s="200">
        <v>0</v>
      </c>
      <c r="W62" s="200">
        <v>0</v>
      </c>
      <c r="X62" s="200">
        <v>0</v>
      </c>
      <c r="Y62" s="200">
        <v>0</v>
      </c>
      <c r="Z62" s="200">
        <v>0</v>
      </c>
      <c r="AA62" s="200">
        <v>0</v>
      </c>
      <c r="AB62" s="200">
        <v>0</v>
      </c>
      <c r="AC62" s="203">
        <f t="shared" si="3"/>
        <v>719597.07282999996</v>
      </c>
      <c r="AD62" s="200">
        <v>504506.12308799999</v>
      </c>
      <c r="AE62" s="200">
        <v>189334.24778400001</v>
      </c>
      <c r="AF62" s="200">
        <v>0</v>
      </c>
      <c r="AG62" s="200">
        <v>25756.701960000002</v>
      </c>
      <c r="AH62" s="203">
        <f t="shared" si="4"/>
        <v>88870.973400000003</v>
      </c>
      <c r="AI62" s="200">
        <v>84655.759055999995</v>
      </c>
      <c r="AJ62" s="200">
        <v>0</v>
      </c>
      <c r="AK62" s="200">
        <v>0</v>
      </c>
      <c r="AL62" s="200">
        <v>4181.8077840000005</v>
      </c>
      <c r="AM62" s="200">
        <v>33.406560000000006</v>
      </c>
      <c r="AN62" s="200">
        <v>13149212.511232801</v>
      </c>
      <c r="AO62" s="200">
        <v>0</v>
      </c>
      <c r="AP62" s="200">
        <v>0</v>
      </c>
      <c r="AQ62" s="200">
        <v>0</v>
      </c>
      <c r="AR62" s="203">
        <f t="shared" si="5"/>
        <v>13991203.287310001</v>
      </c>
      <c r="AS62" s="203">
        <f t="shared" si="6"/>
        <v>2061053.06959</v>
      </c>
      <c r="AT62" s="200">
        <v>1254659.326536</v>
      </c>
      <c r="AU62" s="200">
        <v>0</v>
      </c>
      <c r="AV62" s="200">
        <v>0</v>
      </c>
      <c r="AW62" s="200">
        <v>0</v>
      </c>
      <c r="AX62" s="200">
        <v>806393.74305600009</v>
      </c>
      <c r="AY62" s="200">
        <v>0</v>
      </c>
      <c r="AZ62" s="203">
        <f t="shared" si="7"/>
        <v>131492125.11233</v>
      </c>
      <c r="BA62" s="200">
        <v>59978305.967104003</v>
      </c>
      <c r="BB62" s="200">
        <v>47513462.350999996</v>
      </c>
      <c r="BC62" s="200">
        <v>0</v>
      </c>
      <c r="BD62" s="200">
        <v>4558255.5109040001</v>
      </c>
      <c r="BE62" s="200">
        <v>22591.51196</v>
      </c>
      <c r="BF62" s="200">
        <v>19419509.771360002</v>
      </c>
      <c r="BG62" s="200">
        <v>0</v>
      </c>
      <c r="BH62" s="200">
        <v>0</v>
      </c>
      <c r="BI62" s="200">
        <v>0</v>
      </c>
      <c r="BJ62" s="203">
        <f t="shared" si="8"/>
        <v>133553178.18192001</v>
      </c>
      <c r="BK62" s="203">
        <f t="shared" si="9"/>
        <v>-119561974.89461</v>
      </c>
      <c r="BL62" s="203">
        <f>$BO$9+SUMPRODUCT($D$10:D62,$BK$10:BK62)</f>
        <v>30683572.668826818</v>
      </c>
      <c r="BM62" s="202">
        <f t="shared" si="10"/>
        <v>5.85</v>
      </c>
      <c r="BN62" s="203">
        <f t="shared" si="13"/>
        <v>41059660.544210002</v>
      </c>
      <c r="BO62" s="204">
        <f t="shared" si="11"/>
        <v>623372224.86682999</v>
      </c>
      <c r="BP62" s="201">
        <f t="shared" si="14"/>
        <v>6709647.5043422338</v>
      </c>
      <c r="BQ62" s="201">
        <f t="shared" si="15"/>
        <v>352256493.97796726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 s="165">
        <f t="shared" si="20"/>
        <v>54</v>
      </c>
      <c r="B63" s="166">
        <f t="shared" si="20"/>
        <v>2073</v>
      </c>
      <c r="C63" s="29">
        <v>5.85</v>
      </c>
      <c r="D63" s="164">
        <f t="shared" si="16"/>
        <v>4.6420000000000003E-2</v>
      </c>
      <c r="E63" s="200">
        <v>0</v>
      </c>
      <c r="F63" s="203">
        <f t="shared" si="18"/>
        <v>8167.6890199999998</v>
      </c>
      <c r="G63" s="200">
        <v>8167.6890240000002</v>
      </c>
      <c r="H63" s="200">
        <v>0</v>
      </c>
      <c r="I63" s="200">
        <v>0</v>
      </c>
      <c r="J63" s="200">
        <v>0</v>
      </c>
      <c r="K63" s="200">
        <v>11934.493560000001</v>
      </c>
      <c r="L63" s="200">
        <v>2862.9467113473561</v>
      </c>
      <c r="M63" s="203">
        <f t="shared" si="1"/>
        <v>0</v>
      </c>
      <c r="N63" s="200">
        <v>0</v>
      </c>
      <c r="O63" s="200">
        <v>0</v>
      </c>
      <c r="P63" s="200">
        <v>0</v>
      </c>
      <c r="Q63" s="200">
        <v>0</v>
      </c>
      <c r="R63" s="200">
        <v>0</v>
      </c>
      <c r="S63" s="200">
        <v>0</v>
      </c>
      <c r="T63" s="200">
        <v>0</v>
      </c>
      <c r="U63" s="203">
        <f t="shared" si="2"/>
        <v>0</v>
      </c>
      <c r="V63" s="200">
        <v>0</v>
      </c>
      <c r="W63" s="200">
        <v>0</v>
      </c>
      <c r="X63" s="200">
        <v>0</v>
      </c>
      <c r="Y63" s="200">
        <v>0</v>
      </c>
      <c r="Z63" s="200">
        <v>0</v>
      </c>
      <c r="AA63" s="200">
        <v>0</v>
      </c>
      <c r="AB63" s="200">
        <v>0</v>
      </c>
      <c r="AC63" s="203">
        <f t="shared" si="3"/>
        <v>560412.29428999999</v>
      </c>
      <c r="AD63" s="200">
        <v>392225.73720000003</v>
      </c>
      <c r="AE63" s="200">
        <v>147147.27165600003</v>
      </c>
      <c r="AF63" s="200">
        <v>0</v>
      </c>
      <c r="AG63" s="200">
        <v>21039.285432000001</v>
      </c>
      <c r="AH63" s="203">
        <f t="shared" si="4"/>
        <v>68424.3223</v>
      </c>
      <c r="AI63" s="200">
        <v>65018.738400000002</v>
      </c>
      <c r="AJ63" s="200">
        <v>0</v>
      </c>
      <c r="AK63" s="200">
        <v>0</v>
      </c>
      <c r="AL63" s="200">
        <v>3390.5802480000002</v>
      </c>
      <c r="AM63" s="200">
        <v>15.003648</v>
      </c>
      <c r="AN63" s="200">
        <v>11358741.5648576</v>
      </c>
      <c r="AO63" s="200">
        <v>0</v>
      </c>
      <c r="AP63" s="200">
        <v>0</v>
      </c>
      <c r="AQ63" s="200">
        <v>0</v>
      </c>
      <c r="AR63" s="203">
        <f t="shared" si="5"/>
        <v>12010543.31074</v>
      </c>
      <c r="AS63" s="203">
        <f t="shared" si="6"/>
        <v>1472392.06118</v>
      </c>
      <c r="AT63" s="200">
        <v>800155.31217600009</v>
      </c>
      <c r="AU63" s="200">
        <v>0</v>
      </c>
      <c r="AV63" s="200">
        <v>0</v>
      </c>
      <c r="AW63" s="200">
        <v>0</v>
      </c>
      <c r="AX63" s="200">
        <v>672236.74900800001</v>
      </c>
      <c r="AY63" s="200">
        <v>0</v>
      </c>
      <c r="AZ63" s="203">
        <f t="shared" si="7"/>
        <v>113587415.64858</v>
      </c>
      <c r="BA63" s="200">
        <v>51709418.886312008</v>
      </c>
      <c r="BB63" s="200">
        <v>41065149.62816</v>
      </c>
      <c r="BC63" s="200">
        <v>0</v>
      </c>
      <c r="BD63" s="200">
        <v>3960186.9256720003</v>
      </c>
      <c r="BE63" s="200">
        <v>13720.868232000001</v>
      </c>
      <c r="BF63" s="200">
        <v>16838939.3402</v>
      </c>
      <c r="BG63" s="200">
        <v>0</v>
      </c>
      <c r="BH63" s="200">
        <v>0</v>
      </c>
      <c r="BI63" s="200">
        <v>0</v>
      </c>
      <c r="BJ63" s="203">
        <f t="shared" si="8"/>
        <v>115059807.70976</v>
      </c>
      <c r="BK63" s="203">
        <f t="shared" si="9"/>
        <v>-103049264.39902</v>
      </c>
      <c r="BL63" s="203">
        <f>$BO$9+SUMPRODUCT($D$10:D63,$BK$10:BK63)</f>
        <v>25900025.815424204</v>
      </c>
      <c r="BM63" s="202">
        <f t="shared" si="10"/>
        <v>5.85</v>
      </c>
      <c r="BN63" s="203">
        <f t="shared" si="13"/>
        <v>36467275.154710002</v>
      </c>
      <c r="BO63" s="204">
        <f t="shared" si="11"/>
        <v>556790235.62251997</v>
      </c>
      <c r="BP63" s="201">
        <f t="shared" si="14"/>
        <v>5464512.8043735204</v>
      </c>
      <c r="BQ63" s="201">
        <f t="shared" si="15"/>
        <v>292351435.03398335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 s="165">
        <f t="shared" si="20"/>
        <v>55</v>
      </c>
      <c r="B64" s="166">
        <f t="shared" si="20"/>
        <v>2074</v>
      </c>
      <c r="C64" s="29">
        <v>5.85</v>
      </c>
      <c r="D64" s="164">
        <f t="shared" si="16"/>
        <v>4.385E-2</v>
      </c>
      <c r="E64" s="200">
        <v>0</v>
      </c>
      <c r="F64" s="203">
        <f t="shared" si="18"/>
        <v>4255.9468999999999</v>
      </c>
      <c r="G64" s="200">
        <v>4255.9469039999994</v>
      </c>
      <c r="H64" s="200">
        <v>0</v>
      </c>
      <c r="I64" s="200">
        <v>0</v>
      </c>
      <c r="J64" s="200">
        <v>0</v>
      </c>
      <c r="K64" s="200">
        <v>9423.6584640000001</v>
      </c>
      <c r="L64" s="200">
        <v>2039.4953301831081</v>
      </c>
      <c r="M64" s="203">
        <f t="shared" si="1"/>
        <v>0</v>
      </c>
      <c r="N64" s="200">
        <v>0</v>
      </c>
      <c r="O64" s="200">
        <v>0</v>
      </c>
      <c r="P64" s="200">
        <v>0</v>
      </c>
      <c r="Q64" s="200">
        <v>0</v>
      </c>
      <c r="R64" s="200">
        <v>0</v>
      </c>
      <c r="S64" s="200">
        <v>0</v>
      </c>
      <c r="T64" s="200">
        <v>0</v>
      </c>
      <c r="U64" s="203">
        <f t="shared" si="2"/>
        <v>0</v>
      </c>
      <c r="V64" s="200">
        <v>0</v>
      </c>
      <c r="W64" s="200">
        <v>0</v>
      </c>
      <c r="X64" s="200">
        <v>0</v>
      </c>
      <c r="Y64" s="200">
        <v>0</v>
      </c>
      <c r="Z64" s="200">
        <v>0</v>
      </c>
      <c r="AA64" s="200">
        <v>0</v>
      </c>
      <c r="AB64" s="200">
        <v>0</v>
      </c>
      <c r="AC64" s="203">
        <f t="shared" si="3"/>
        <v>430917.91829</v>
      </c>
      <c r="AD64" s="200">
        <v>302336.93819999998</v>
      </c>
      <c r="AE64" s="200">
        <v>111542.95072800001</v>
      </c>
      <c r="AF64" s="200">
        <v>0</v>
      </c>
      <c r="AG64" s="200">
        <v>17038.02936</v>
      </c>
      <c r="AH64" s="203">
        <f t="shared" si="4"/>
        <v>51981.193440000003</v>
      </c>
      <c r="AI64" s="200">
        <v>49250.69556</v>
      </c>
      <c r="AJ64" s="200">
        <v>0</v>
      </c>
      <c r="AK64" s="200">
        <v>0</v>
      </c>
      <c r="AL64" s="200">
        <v>2724.1584480000001</v>
      </c>
      <c r="AM64" s="200">
        <v>6.3394320000000004</v>
      </c>
      <c r="AN64" s="200">
        <v>9746386.2253304012</v>
      </c>
      <c r="AO64" s="200">
        <v>0</v>
      </c>
      <c r="AP64" s="200">
        <v>0</v>
      </c>
      <c r="AQ64" s="200">
        <v>0</v>
      </c>
      <c r="AR64" s="203">
        <f t="shared" si="5"/>
        <v>10245004.437750001</v>
      </c>
      <c r="AS64" s="203">
        <f t="shared" si="6"/>
        <v>1055888.18465</v>
      </c>
      <c r="AT64" s="200">
        <v>498929.91376799997</v>
      </c>
      <c r="AU64" s="200">
        <v>0</v>
      </c>
      <c r="AV64" s="200">
        <v>0</v>
      </c>
      <c r="AW64" s="200">
        <v>0</v>
      </c>
      <c r="AX64" s="200">
        <v>556958.27087999997</v>
      </c>
      <c r="AY64" s="200">
        <v>0</v>
      </c>
      <c r="AZ64" s="203">
        <f t="shared" si="7"/>
        <v>97463862.253299996</v>
      </c>
      <c r="BA64" s="200">
        <v>44345637.254879996</v>
      </c>
      <c r="BB64" s="200">
        <v>35203321.827759996</v>
      </c>
      <c r="BC64" s="200">
        <v>0</v>
      </c>
      <c r="BD64" s="200">
        <v>3415840.7472479995</v>
      </c>
      <c r="BE64" s="200">
        <v>8081.1950800000004</v>
      </c>
      <c r="BF64" s="200">
        <v>14490981.228336001</v>
      </c>
      <c r="BG64" s="200">
        <v>0</v>
      </c>
      <c r="BH64" s="200">
        <v>0</v>
      </c>
      <c r="BI64" s="200">
        <v>0</v>
      </c>
      <c r="BJ64" s="203">
        <f t="shared" si="8"/>
        <v>98519750.43795</v>
      </c>
      <c r="BK64" s="203">
        <f t="shared" si="9"/>
        <v>-88274746.000200003</v>
      </c>
      <c r="BL64" s="203">
        <f>$BO$9+SUMPRODUCT($D$10:D64,$BK$10:BK64)</f>
        <v>22029178.203315496</v>
      </c>
      <c r="BM64" s="202">
        <f t="shared" si="10"/>
        <v>5.85</v>
      </c>
      <c r="BN64" s="203">
        <f t="shared" si="13"/>
        <v>32572228.783920001</v>
      </c>
      <c r="BO64" s="204">
        <f t="shared" si="11"/>
        <v>501087718.40623999</v>
      </c>
      <c r="BP64" s="201">
        <f t="shared" si="14"/>
        <v>4423015.9165836489</v>
      </c>
      <c r="BQ64" s="201">
        <f t="shared" si="15"/>
        <v>241054367.45380887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 s="165">
        <f t="shared" si="20"/>
        <v>56</v>
      </c>
      <c r="B65" s="166">
        <f t="shared" si="20"/>
        <v>2075</v>
      </c>
      <c r="C65" s="29">
        <v>5.85</v>
      </c>
      <c r="D65" s="164">
        <f t="shared" si="16"/>
        <v>4.1430000000000002E-2</v>
      </c>
      <c r="E65" s="200">
        <v>0</v>
      </c>
      <c r="F65" s="203">
        <f t="shared" si="18"/>
        <v>1967.6854599999999</v>
      </c>
      <c r="G65" s="200">
        <v>1967.6854560000002</v>
      </c>
      <c r="H65" s="200">
        <v>0</v>
      </c>
      <c r="I65" s="200">
        <v>0</v>
      </c>
      <c r="J65" s="200">
        <v>0</v>
      </c>
      <c r="K65" s="200">
        <v>7472.2855680000002</v>
      </c>
      <c r="L65" s="200">
        <v>1414.5197114568809</v>
      </c>
      <c r="M65" s="203">
        <f t="shared" si="1"/>
        <v>0</v>
      </c>
      <c r="N65" s="200">
        <v>0</v>
      </c>
      <c r="O65" s="200">
        <v>0</v>
      </c>
      <c r="P65" s="200">
        <v>0</v>
      </c>
      <c r="Q65" s="200">
        <v>0</v>
      </c>
      <c r="R65" s="200">
        <v>0</v>
      </c>
      <c r="S65" s="200">
        <v>0</v>
      </c>
      <c r="T65" s="200">
        <v>0</v>
      </c>
      <c r="U65" s="203">
        <f t="shared" si="2"/>
        <v>0</v>
      </c>
      <c r="V65" s="200">
        <v>0</v>
      </c>
      <c r="W65" s="200">
        <v>0</v>
      </c>
      <c r="X65" s="200">
        <v>0</v>
      </c>
      <c r="Y65" s="200">
        <v>0</v>
      </c>
      <c r="Z65" s="200">
        <v>0</v>
      </c>
      <c r="AA65" s="200">
        <v>0</v>
      </c>
      <c r="AB65" s="200">
        <v>0</v>
      </c>
      <c r="AC65" s="203">
        <f t="shared" si="3"/>
        <v>327039.7218</v>
      </c>
      <c r="AD65" s="200">
        <v>231177.99592800002</v>
      </c>
      <c r="AE65" s="200">
        <v>82185.744432000007</v>
      </c>
      <c r="AF65" s="200">
        <v>0</v>
      </c>
      <c r="AG65" s="200">
        <v>13675.98144</v>
      </c>
      <c r="AH65" s="203">
        <f t="shared" si="4"/>
        <v>38955.096579999998</v>
      </c>
      <c r="AI65" s="200">
        <v>36784.109735999999</v>
      </c>
      <c r="AJ65" s="200">
        <v>0</v>
      </c>
      <c r="AK65" s="200">
        <v>0</v>
      </c>
      <c r="AL65" s="200">
        <v>2168.4764639999999</v>
      </c>
      <c r="AM65" s="200">
        <v>2.5103759999999999</v>
      </c>
      <c r="AN65" s="200">
        <v>8304424.9074384011</v>
      </c>
      <c r="AO65" s="200">
        <v>0</v>
      </c>
      <c r="AP65" s="200">
        <v>0</v>
      </c>
      <c r="AQ65" s="200">
        <v>0</v>
      </c>
      <c r="AR65" s="203">
        <f t="shared" si="5"/>
        <v>8681274.2165600006</v>
      </c>
      <c r="AS65" s="203">
        <f t="shared" si="6"/>
        <v>767390.60745999997</v>
      </c>
      <c r="AT65" s="200">
        <v>308799.280944</v>
      </c>
      <c r="AU65" s="200">
        <v>0</v>
      </c>
      <c r="AV65" s="200">
        <v>0</v>
      </c>
      <c r="AW65" s="200">
        <v>0</v>
      </c>
      <c r="AX65" s="200">
        <v>458591.326512</v>
      </c>
      <c r="AY65" s="200">
        <v>0</v>
      </c>
      <c r="AZ65" s="203">
        <f t="shared" si="7"/>
        <v>83044249.074379995</v>
      </c>
      <c r="BA65" s="200">
        <v>37814519.733263999</v>
      </c>
      <c r="BB65" s="200">
        <v>29928565.279456001</v>
      </c>
      <c r="BC65" s="200">
        <v>0</v>
      </c>
      <c r="BD65" s="200">
        <v>2923925.3559280001</v>
      </c>
      <c r="BE65" s="200">
        <v>4599.6976960000002</v>
      </c>
      <c r="BF65" s="200">
        <v>12372639.008040002</v>
      </c>
      <c r="BG65" s="200">
        <v>0</v>
      </c>
      <c r="BH65" s="200">
        <v>0</v>
      </c>
      <c r="BI65" s="200">
        <v>0</v>
      </c>
      <c r="BJ65" s="203">
        <f t="shared" si="8"/>
        <v>83811639.681840003</v>
      </c>
      <c r="BK65" s="203">
        <f t="shared" si="9"/>
        <v>-75130365.465279996</v>
      </c>
      <c r="BL65" s="203">
        <f>$BO$9+SUMPRODUCT($D$10:D65,$BK$10:BK65)</f>
        <v>18916527.162088871</v>
      </c>
      <c r="BM65" s="202">
        <f t="shared" si="10"/>
        <v>5.85</v>
      </c>
      <c r="BN65" s="203">
        <f t="shared" si="13"/>
        <v>29313631.526769999</v>
      </c>
      <c r="BO65" s="204">
        <f t="shared" si="11"/>
        <v>455270984.46772999</v>
      </c>
      <c r="BP65" s="201">
        <f t="shared" si="14"/>
        <v>3556727.3417950198</v>
      </c>
      <c r="BQ65" s="201">
        <f t="shared" si="15"/>
        <v>197398367.4696236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 s="165">
        <f t="shared" si="20"/>
        <v>57</v>
      </c>
      <c r="B66" s="166">
        <f t="shared" si="20"/>
        <v>2076</v>
      </c>
      <c r="C66" s="29">
        <v>5.85</v>
      </c>
      <c r="D66" s="164">
        <f t="shared" si="16"/>
        <v>3.9140000000000001E-2</v>
      </c>
      <c r="E66" s="200">
        <v>0</v>
      </c>
      <c r="F66" s="203">
        <f t="shared" si="18"/>
        <v>773.29349000000002</v>
      </c>
      <c r="G66" s="200">
        <v>773.29348800000002</v>
      </c>
      <c r="H66" s="200">
        <v>0</v>
      </c>
      <c r="I66" s="200">
        <v>0</v>
      </c>
      <c r="J66" s="200">
        <v>0</v>
      </c>
      <c r="K66" s="200">
        <v>5955.8914800000002</v>
      </c>
      <c r="L66" s="200">
        <v>946.81689173852101</v>
      </c>
      <c r="M66" s="203">
        <f t="shared" si="1"/>
        <v>0</v>
      </c>
      <c r="N66" s="200">
        <v>0</v>
      </c>
      <c r="O66" s="200">
        <v>0</v>
      </c>
      <c r="P66" s="200">
        <v>0</v>
      </c>
      <c r="Q66" s="200">
        <v>0</v>
      </c>
      <c r="R66" s="200">
        <v>0</v>
      </c>
      <c r="S66" s="200">
        <v>0</v>
      </c>
      <c r="T66" s="200">
        <v>0</v>
      </c>
      <c r="U66" s="203">
        <f t="shared" si="2"/>
        <v>0</v>
      </c>
      <c r="V66" s="200">
        <v>0</v>
      </c>
      <c r="W66" s="200">
        <v>0</v>
      </c>
      <c r="X66" s="200">
        <v>0</v>
      </c>
      <c r="Y66" s="200">
        <v>0</v>
      </c>
      <c r="Z66" s="200">
        <v>0</v>
      </c>
      <c r="AA66" s="200">
        <v>0</v>
      </c>
      <c r="AB66" s="200">
        <v>0</v>
      </c>
      <c r="AC66" s="203">
        <f t="shared" si="3"/>
        <v>244828.49265999999</v>
      </c>
      <c r="AD66" s="200">
        <v>175330.69646400001</v>
      </c>
      <c r="AE66" s="200">
        <v>58621.518912</v>
      </c>
      <c r="AF66" s="200">
        <v>0</v>
      </c>
      <c r="AG66" s="200">
        <v>10876.27728</v>
      </c>
      <c r="AH66" s="203">
        <f t="shared" si="4"/>
        <v>28792.381460000001</v>
      </c>
      <c r="AI66" s="200">
        <v>27081.789767999999</v>
      </c>
      <c r="AJ66" s="200">
        <v>0</v>
      </c>
      <c r="AK66" s="200">
        <v>0</v>
      </c>
      <c r="AL66" s="200">
        <v>1709.663736</v>
      </c>
      <c r="AM66" s="200">
        <v>0.92796000000000001</v>
      </c>
      <c r="AN66" s="200">
        <v>7024052.9366040006</v>
      </c>
      <c r="AO66" s="200">
        <v>0</v>
      </c>
      <c r="AP66" s="200">
        <v>0</v>
      </c>
      <c r="AQ66" s="200">
        <v>0</v>
      </c>
      <c r="AR66" s="203">
        <f t="shared" si="5"/>
        <v>7305349.8125900002</v>
      </c>
      <c r="AS66" s="203">
        <f t="shared" si="6"/>
        <v>569934.49234</v>
      </c>
      <c r="AT66" s="200">
        <v>194748.259464</v>
      </c>
      <c r="AU66" s="200">
        <v>0</v>
      </c>
      <c r="AV66" s="200">
        <v>0</v>
      </c>
      <c r="AW66" s="200">
        <v>0</v>
      </c>
      <c r="AX66" s="200">
        <v>375186.23287199996</v>
      </c>
      <c r="AY66" s="200">
        <v>0</v>
      </c>
      <c r="AZ66" s="203">
        <f t="shared" si="7"/>
        <v>70240529.366040006</v>
      </c>
      <c r="BA66" s="200">
        <v>32044981.717704002</v>
      </c>
      <c r="BB66" s="200">
        <v>25232334.662815999</v>
      </c>
      <c r="BC66" s="200">
        <v>0</v>
      </c>
      <c r="BD66" s="200">
        <v>2482738.7898240001</v>
      </c>
      <c r="BE66" s="200">
        <v>2520.7828079999999</v>
      </c>
      <c r="BF66" s="200">
        <v>10477953.412888</v>
      </c>
      <c r="BG66" s="200">
        <v>0</v>
      </c>
      <c r="BH66" s="200">
        <v>0</v>
      </c>
      <c r="BI66" s="200">
        <v>0</v>
      </c>
      <c r="BJ66" s="203">
        <f t="shared" si="8"/>
        <v>70810463.858380005</v>
      </c>
      <c r="BK66" s="203">
        <f t="shared" si="9"/>
        <v>-63505114.045790002</v>
      </c>
      <c r="BL66" s="203">
        <f>$BO$9+SUMPRODUCT($D$10:D66,$BK$10:BK66)</f>
        <v>16430936.998336554</v>
      </c>
      <c r="BM66" s="202">
        <f t="shared" si="10"/>
        <v>5.85</v>
      </c>
      <c r="BN66" s="203">
        <f t="shared" si="13"/>
        <v>26633352.591359999</v>
      </c>
      <c r="BO66" s="204">
        <f t="shared" si="11"/>
        <v>418399223.0133</v>
      </c>
      <c r="BP66" s="201">
        <f t="shared" si="14"/>
        <v>2840387.1145070503</v>
      </c>
      <c r="BQ66" s="201">
        <f t="shared" si="15"/>
        <v>160481871.96964833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165">
        <f t="shared" si="20"/>
        <v>58</v>
      </c>
      <c r="B67" s="166">
        <f t="shared" si="20"/>
        <v>2077</v>
      </c>
      <c r="C67" s="29">
        <v>5.85</v>
      </c>
      <c r="D67" s="164">
        <f t="shared" si="16"/>
        <v>3.6979999999999999E-2</v>
      </c>
      <c r="E67" s="200">
        <v>0</v>
      </c>
      <c r="F67" s="203">
        <f t="shared" si="18"/>
        <v>242.48083</v>
      </c>
      <c r="G67" s="200">
        <v>242.48083200000002</v>
      </c>
      <c r="H67" s="200">
        <v>0</v>
      </c>
      <c r="I67" s="200">
        <v>0</v>
      </c>
      <c r="J67" s="200">
        <v>0</v>
      </c>
      <c r="K67" s="200">
        <v>4767.2333280000003</v>
      </c>
      <c r="L67" s="200">
        <v>606.47258307427433</v>
      </c>
      <c r="M67" s="203">
        <f t="shared" si="1"/>
        <v>0</v>
      </c>
      <c r="N67" s="200">
        <v>0</v>
      </c>
      <c r="O67" s="200">
        <v>0</v>
      </c>
      <c r="P67" s="200">
        <v>0</v>
      </c>
      <c r="Q67" s="200">
        <v>0</v>
      </c>
      <c r="R67" s="200">
        <v>0</v>
      </c>
      <c r="S67" s="200">
        <v>0</v>
      </c>
      <c r="T67" s="200">
        <v>0</v>
      </c>
      <c r="U67" s="203">
        <f t="shared" si="2"/>
        <v>0</v>
      </c>
      <c r="V67" s="200">
        <v>0</v>
      </c>
      <c r="W67" s="200">
        <v>0</v>
      </c>
      <c r="X67" s="200">
        <v>0</v>
      </c>
      <c r="Y67" s="200">
        <v>0</v>
      </c>
      <c r="Z67" s="200">
        <v>0</v>
      </c>
      <c r="AA67" s="200">
        <v>0</v>
      </c>
      <c r="AB67" s="200">
        <v>0</v>
      </c>
      <c r="AC67" s="203">
        <f t="shared" si="3"/>
        <v>180711.99510999999</v>
      </c>
      <c r="AD67" s="200">
        <v>131841.47988</v>
      </c>
      <c r="AE67" s="200">
        <v>40303.949928000002</v>
      </c>
      <c r="AF67" s="200">
        <v>0</v>
      </c>
      <c r="AG67" s="200">
        <v>8566.5653040000016</v>
      </c>
      <c r="AH67" s="203">
        <f t="shared" si="4"/>
        <v>21000.28181</v>
      </c>
      <c r="AI67" s="200">
        <v>19665.416232000003</v>
      </c>
      <c r="AJ67" s="200">
        <v>0</v>
      </c>
      <c r="AK67" s="200">
        <v>0</v>
      </c>
      <c r="AL67" s="200">
        <v>1334.543232</v>
      </c>
      <c r="AM67" s="200">
        <v>0.32234400000000002</v>
      </c>
      <c r="AN67" s="200">
        <v>5895757.0887768008</v>
      </c>
      <c r="AO67" s="200">
        <v>0</v>
      </c>
      <c r="AP67" s="200">
        <v>0</v>
      </c>
      <c r="AQ67" s="200">
        <v>0</v>
      </c>
      <c r="AR67" s="203">
        <f t="shared" si="5"/>
        <v>6103085.5524399998</v>
      </c>
      <c r="AS67" s="203">
        <f t="shared" si="6"/>
        <v>432914.60493999999</v>
      </c>
      <c r="AT67" s="200">
        <v>128056.5264</v>
      </c>
      <c r="AU67" s="200">
        <v>0</v>
      </c>
      <c r="AV67" s="200">
        <v>0</v>
      </c>
      <c r="AW67" s="200">
        <v>0</v>
      </c>
      <c r="AX67" s="200">
        <v>304858.07853600004</v>
      </c>
      <c r="AY67" s="200">
        <v>0</v>
      </c>
      <c r="AZ67" s="203">
        <f t="shared" si="7"/>
        <v>58957570.887769997</v>
      </c>
      <c r="BA67" s="200">
        <v>26970831.675656002</v>
      </c>
      <c r="BB67" s="200">
        <v>21096696.564872</v>
      </c>
      <c r="BC67" s="200">
        <v>0</v>
      </c>
      <c r="BD67" s="200">
        <v>2090215.4791279999</v>
      </c>
      <c r="BE67" s="200">
        <v>1325.0044</v>
      </c>
      <c r="BF67" s="200">
        <v>8798502.1637120005</v>
      </c>
      <c r="BG67" s="200">
        <v>0</v>
      </c>
      <c r="BH67" s="200">
        <v>0</v>
      </c>
      <c r="BI67" s="200">
        <v>0</v>
      </c>
      <c r="BJ67" s="203">
        <f t="shared" si="8"/>
        <v>59390485.492710002</v>
      </c>
      <c r="BK67" s="203">
        <f t="shared" si="9"/>
        <v>-53287399.940269999</v>
      </c>
      <c r="BL67" s="203">
        <f>$BO$9+SUMPRODUCT($D$10:D67,$BK$10:BK67)</f>
        <v>14460368.948545456</v>
      </c>
      <c r="BM67" s="202">
        <f t="shared" si="10"/>
        <v>5.85</v>
      </c>
      <c r="BN67" s="203">
        <f t="shared" si="13"/>
        <v>24476354.54628</v>
      </c>
      <c r="BO67" s="204">
        <f t="shared" si="11"/>
        <v>389588177.61931002</v>
      </c>
      <c r="BP67" s="201">
        <f t="shared" si="14"/>
        <v>2251712.6826611809</v>
      </c>
      <c r="BQ67" s="201">
        <f t="shared" si="15"/>
        <v>129473479.2530179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165">
        <f t="shared" si="20"/>
        <v>59</v>
      </c>
      <c r="B68" s="166">
        <f t="shared" si="20"/>
        <v>2078</v>
      </c>
      <c r="C68" s="29">
        <v>5.85</v>
      </c>
      <c r="D68" s="164">
        <f t="shared" si="16"/>
        <v>3.4939999999999999E-2</v>
      </c>
      <c r="E68" s="200">
        <v>0</v>
      </c>
      <c r="F68" s="203">
        <f t="shared" si="18"/>
        <v>54.72034</v>
      </c>
      <c r="G68" s="200">
        <v>54.720336000000003</v>
      </c>
      <c r="H68" s="200">
        <v>0</v>
      </c>
      <c r="I68" s="200">
        <v>0</v>
      </c>
      <c r="J68" s="200">
        <v>0</v>
      </c>
      <c r="K68" s="200">
        <v>3829.2122879999997</v>
      </c>
      <c r="L68" s="200">
        <v>367.35275432198551</v>
      </c>
      <c r="M68" s="203">
        <f t="shared" si="1"/>
        <v>0</v>
      </c>
      <c r="N68" s="200">
        <v>0</v>
      </c>
      <c r="O68" s="200">
        <v>0</v>
      </c>
      <c r="P68" s="200">
        <v>0</v>
      </c>
      <c r="Q68" s="200">
        <v>0</v>
      </c>
      <c r="R68" s="200">
        <v>0</v>
      </c>
      <c r="S68" s="200">
        <v>0</v>
      </c>
      <c r="T68" s="200">
        <v>0</v>
      </c>
      <c r="U68" s="203">
        <f t="shared" si="2"/>
        <v>0</v>
      </c>
      <c r="V68" s="200">
        <v>0</v>
      </c>
      <c r="W68" s="200">
        <v>0</v>
      </c>
      <c r="X68" s="200">
        <v>0</v>
      </c>
      <c r="Y68" s="200">
        <v>0</v>
      </c>
      <c r="Z68" s="200">
        <v>0</v>
      </c>
      <c r="AA68" s="200">
        <v>0</v>
      </c>
      <c r="AB68" s="200">
        <v>0</v>
      </c>
      <c r="AC68" s="203">
        <f t="shared" si="3"/>
        <v>131562.00763000001</v>
      </c>
      <c r="AD68" s="200">
        <v>98267.037263999999</v>
      </c>
      <c r="AE68" s="200">
        <v>26614.390968</v>
      </c>
      <c r="AF68" s="200">
        <v>0</v>
      </c>
      <c r="AG68" s="200">
        <v>6680.5793999999996</v>
      </c>
      <c r="AH68" s="203">
        <f t="shared" si="4"/>
        <v>15135.67229</v>
      </c>
      <c r="AI68" s="200">
        <v>14104.708728</v>
      </c>
      <c r="AJ68" s="200">
        <v>0</v>
      </c>
      <c r="AK68" s="200">
        <v>0</v>
      </c>
      <c r="AL68" s="200">
        <v>1030.8561119999999</v>
      </c>
      <c r="AM68" s="200">
        <v>0.107448</v>
      </c>
      <c r="AN68" s="200">
        <v>4909478.4678288009</v>
      </c>
      <c r="AO68" s="200">
        <v>0</v>
      </c>
      <c r="AP68" s="200">
        <v>0</v>
      </c>
      <c r="AQ68" s="200">
        <v>0</v>
      </c>
      <c r="AR68" s="203">
        <f t="shared" si="5"/>
        <v>5060427.4331299998</v>
      </c>
      <c r="AS68" s="203">
        <f t="shared" si="6"/>
        <v>334032.51578000002</v>
      </c>
      <c r="AT68" s="200">
        <v>88100.444255999988</v>
      </c>
      <c r="AU68" s="200">
        <v>0</v>
      </c>
      <c r="AV68" s="200">
        <v>0</v>
      </c>
      <c r="AW68" s="200">
        <v>0</v>
      </c>
      <c r="AX68" s="200">
        <v>245932.071528</v>
      </c>
      <c r="AY68" s="200">
        <v>0</v>
      </c>
      <c r="AZ68" s="203">
        <f t="shared" si="7"/>
        <v>49094784.678290002</v>
      </c>
      <c r="BA68" s="200">
        <v>22531407.173287999</v>
      </c>
      <c r="BB68" s="200">
        <v>17494874.566696003</v>
      </c>
      <c r="BC68" s="200">
        <v>0</v>
      </c>
      <c r="BD68" s="200">
        <v>1743979.7500800001</v>
      </c>
      <c r="BE68" s="200">
        <v>665.35635200000002</v>
      </c>
      <c r="BF68" s="200">
        <v>7323857.8318720004</v>
      </c>
      <c r="BG68" s="200">
        <v>0</v>
      </c>
      <c r="BH68" s="200">
        <v>0</v>
      </c>
      <c r="BI68" s="200">
        <v>0</v>
      </c>
      <c r="BJ68" s="203">
        <f t="shared" si="8"/>
        <v>49428817.194069996</v>
      </c>
      <c r="BK68" s="203">
        <f t="shared" si="9"/>
        <v>-44368389.76094</v>
      </c>
      <c r="BL68" s="203">
        <f>$BO$9+SUMPRODUCT($D$10:D68,$BK$10:BK68)</f>
        <v>12910137.410298109</v>
      </c>
      <c r="BM68" s="202">
        <f t="shared" si="10"/>
        <v>5.85</v>
      </c>
      <c r="BN68" s="203">
        <f t="shared" si="13"/>
        <v>22790908.390730001</v>
      </c>
      <c r="BO68" s="204">
        <f t="shared" si="11"/>
        <v>368010696.24910003</v>
      </c>
      <c r="BP68" s="201">
        <f t="shared" si="14"/>
        <v>1771223.8341759429</v>
      </c>
      <c r="BQ68" s="201">
        <f t="shared" si="15"/>
        <v>103616594.29929267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>
      <c r="A69" s="165">
        <f t="shared" si="20"/>
        <v>60</v>
      </c>
      <c r="B69" s="166">
        <f t="shared" si="20"/>
        <v>2079</v>
      </c>
      <c r="C69" s="29">
        <v>5.85</v>
      </c>
      <c r="D69" s="164">
        <f t="shared" si="16"/>
        <v>3.3009999999999998E-2</v>
      </c>
      <c r="E69" s="200">
        <v>0</v>
      </c>
      <c r="F69" s="203">
        <f t="shared" si="18"/>
        <v>7.7655599999999998</v>
      </c>
      <c r="G69" s="200">
        <v>7.7655599999999998</v>
      </c>
      <c r="H69" s="200">
        <v>0</v>
      </c>
      <c r="I69" s="200">
        <v>0</v>
      </c>
      <c r="J69" s="200">
        <v>0</v>
      </c>
      <c r="K69" s="200">
        <v>3083.8552799999998</v>
      </c>
      <c r="L69" s="200">
        <v>206.2018311346352</v>
      </c>
      <c r="M69" s="203">
        <f t="shared" si="1"/>
        <v>0</v>
      </c>
      <c r="N69" s="200">
        <v>0</v>
      </c>
      <c r="O69" s="200">
        <v>0</v>
      </c>
      <c r="P69" s="200">
        <v>0</v>
      </c>
      <c r="Q69" s="200">
        <v>0</v>
      </c>
      <c r="R69" s="200">
        <v>0</v>
      </c>
      <c r="S69" s="200">
        <v>0</v>
      </c>
      <c r="T69" s="200">
        <v>0</v>
      </c>
      <c r="U69" s="203">
        <f t="shared" si="2"/>
        <v>0</v>
      </c>
      <c r="V69" s="200">
        <v>0</v>
      </c>
      <c r="W69" s="200">
        <v>0</v>
      </c>
      <c r="X69" s="200">
        <v>0</v>
      </c>
      <c r="Y69" s="200">
        <v>0</v>
      </c>
      <c r="Z69" s="200">
        <v>0</v>
      </c>
      <c r="AA69" s="200">
        <v>0</v>
      </c>
      <c r="AB69" s="200">
        <v>0</v>
      </c>
      <c r="AC69" s="203">
        <f t="shared" si="3"/>
        <v>94574.811409999995</v>
      </c>
      <c r="AD69" s="200">
        <v>72550.335263999994</v>
      </c>
      <c r="AE69" s="200">
        <v>16868.906208</v>
      </c>
      <c r="AF69" s="200">
        <v>0</v>
      </c>
      <c r="AG69" s="200">
        <v>5155.5699360000008</v>
      </c>
      <c r="AH69" s="203">
        <f t="shared" si="4"/>
        <v>10802.694939999999</v>
      </c>
      <c r="AI69" s="200">
        <v>10015.247616000001</v>
      </c>
      <c r="AJ69" s="200">
        <v>0</v>
      </c>
      <c r="AK69" s="200">
        <v>0</v>
      </c>
      <c r="AL69" s="200">
        <v>787.41801599999997</v>
      </c>
      <c r="AM69" s="200">
        <v>2.9304E-2</v>
      </c>
      <c r="AN69" s="200">
        <v>4054461.9240080002</v>
      </c>
      <c r="AO69" s="200">
        <v>0</v>
      </c>
      <c r="AP69" s="200">
        <v>0</v>
      </c>
      <c r="AQ69" s="200">
        <v>0</v>
      </c>
      <c r="AR69" s="203">
        <f t="shared" si="5"/>
        <v>4163137.2530299998</v>
      </c>
      <c r="AS69" s="203">
        <f t="shared" si="6"/>
        <v>259047.79956000001</v>
      </c>
      <c r="AT69" s="200">
        <v>62153.588640000002</v>
      </c>
      <c r="AU69" s="200">
        <v>0</v>
      </c>
      <c r="AV69" s="200">
        <v>0</v>
      </c>
      <c r="AW69" s="200">
        <v>0</v>
      </c>
      <c r="AX69" s="200">
        <v>196894.21091999998</v>
      </c>
      <c r="AY69" s="200">
        <v>0</v>
      </c>
      <c r="AZ69" s="203">
        <f t="shared" si="7"/>
        <v>40544619.240079999</v>
      </c>
      <c r="BA69" s="200">
        <v>18669607.046640001</v>
      </c>
      <c r="BB69" s="200">
        <v>14392343.096991999</v>
      </c>
      <c r="BC69" s="200">
        <v>0</v>
      </c>
      <c r="BD69" s="200">
        <v>1441331.637816</v>
      </c>
      <c r="BE69" s="200">
        <v>317.91064799999998</v>
      </c>
      <c r="BF69" s="200">
        <v>6041019.5479839994</v>
      </c>
      <c r="BG69" s="200">
        <v>0</v>
      </c>
      <c r="BH69" s="200">
        <v>0</v>
      </c>
      <c r="BI69" s="200">
        <v>0</v>
      </c>
      <c r="BJ69" s="203">
        <f t="shared" si="8"/>
        <v>40803667.039640002</v>
      </c>
      <c r="BK69" s="203">
        <f t="shared" si="9"/>
        <v>-36640529.78661</v>
      </c>
      <c r="BL69" s="203">
        <f>$BO$9+SUMPRODUCT($D$10:D69,$BK$10:BK69)</f>
        <v>11700633.522042036</v>
      </c>
      <c r="BM69" s="202">
        <f t="shared" si="10"/>
        <v>5.85</v>
      </c>
      <c r="BN69" s="203">
        <f t="shared" si="13"/>
        <v>21528625.73057</v>
      </c>
      <c r="BO69" s="204">
        <f t="shared" si="11"/>
        <v>352898792.19305998</v>
      </c>
      <c r="BP69" s="201">
        <f t="shared" si="14"/>
        <v>1381878.1951034125</v>
      </c>
      <c r="BQ69" s="201">
        <f t="shared" si="15"/>
        <v>82221752.608653039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>
      <c r="A70" s="165">
        <f t="shared" si="20"/>
        <v>61</v>
      </c>
      <c r="B70" s="166">
        <f t="shared" si="20"/>
        <v>2080</v>
      </c>
      <c r="C70" s="29">
        <v>5.85</v>
      </c>
      <c r="D70" s="164">
        <f t="shared" si="16"/>
        <v>3.1189999999999999E-2</v>
      </c>
      <c r="E70" s="200">
        <v>0</v>
      </c>
      <c r="F70" s="203">
        <f t="shared" si="18"/>
        <v>0.51770000000000005</v>
      </c>
      <c r="G70" s="200">
        <v>0.51770400000000005</v>
      </c>
      <c r="H70" s="200">
        <v>0</v>
      </c>
      <c r="I70" s="200">
        <v>0</v>
      </c>
      <c r="J70" s="200">
        <v>0</v>
      </c>
      <c r="K70" s="200">
        <v>2480.6715120000003</v>
      </c>
      <c r="L70" s="200">
        <v>104.86970055034098</v>
      </c>
      <c r="M70" s="203">
        <f t="shared" si="1"/>
        <v>0</v>
      </c>
      <c r="N70" s="200">
        <v>0</v>
      </c>
      <c r="O70" s="200">
        <v>0</v>
      </c>
      <c r="P70" s="200">
        <v>0</v>
      </c>
      <c r="Q70" s="200">
        <v>0</v>
      </c>
      <c r="R70" s="200">
        <v>0</v>
      </c>
      <c r="S70" s="200">
        <v>0</v>
      </c>
      <c r="T70" s="200">
        <v>0</v>
      </c>
      <c r="U70" s="203">
        <f t="shared" si="2"/>
        <v>0</v>
      </c>
      <c r="V70" s="200">
        <v>0</v>
      </c>
      <c r="W70" s="200">
        <v>0</v>
      </c>
      <c r="X70" s="200">
        <v>0</v>
      </c>
      <c r="Y70" s="200">
        <v>0</v>
      </c>
      <c r="Z70" s="200">
        <v>0</v>
      </c>
      <c r="AA70" s="200">
        <v>0</v>
      </c>
      <c r="AB70" s="200">
        <v>0</v>
      </c>
      <c r="AC70" s="203">
        <f t="shared" si="3"/>
        <v>67234.071960000001</v>
      </c>
      <c r="AD70" s="200">
        <v>53008.327943999997</v>
      </c>
      <c r="AE70" s="200">
        <v>10292.111808</v>
      </c>
      <c r="AF70" s="200">
        <v>0</v>
      </c>
      <c r="AG70" s="200">
        <v>3933.632208</v>
      </c>
      <c r="AH70" s="203">
        <f t="shared" si="4"/>
        <v>7659.90931</v>
      </c>
      <c r="AI70" s="200">
        <v>7065.5069759999997</v>
      </c>
      <c r="AJ70" s="200">
        <v>0</v>
      </c>
      <c r="AK70" s="200">
        <v>0</v>
      </c>
      <c r="AL70" s="200">
        <v>594.39256799999998</v>
      </c>
      <c r="AM70" s="200">
        <v>9.7680000000000006E-3</v>
      </c>
      <c r="AN70" s="200">
        <v>3319409.8854984003</v>
      </c>
      <c r="AO70" s="200">
        <v>0</v>
      </c>
      <c r="AP70" s="200">
        <v>0</v>
      </c>
      <c r="AQ70" s="200">
        <v>0</v>
      </c>
      <c r="AR70" s="203">
        <f t="shared" si="5"/>
        <v>3396889.9256799999</v>
      </c>
      <c r="AS70" s="203">
        <f t="shared" si="6"/>
        <v>199943.29212</v>
      </c>
      <c r="AT70" s="200">
        <v>43637.768327999998</v>
      </c>
      <c r="AU70" s="200">
        <v>0</v>
      </c>
      <c r="AV70" s="200">
        <v>0</v>
      </c>
      <c r="AW70" s="200">
        <v>0</v>
      </c>
      <c r="AX70" s="200">
        <v>156305.52379199999</v>
      </c>
      <c r="AY70" s="200">
        <v>0</v>
      </c>
      <c r="AZ70" s="203">
        <f t="shared" si="7"/>
        <v>33194098.854979999</v>
      </c>
      <c r="BA70" s="200">
        <v>15331877.790672</v>
      </c>
      <c r="BB70" s="200">
        <v>11747653.776856</v>
      </c>
      <c r="BC70" s="200">
        <v>0</v>
      </c>
      <c r="BD70" s="200">
        <v>1179303.6011919999</v>
      </c>
      <c r="BE70" s="200">
        <v>143.93796799999998</v>
      </c>
      <c r="BF70" s="200">
        <v>4935119.7482960001</v>
      </c>
      <c r="BG70" s="200">
        <v>0</v>
      </c>
      <c r="BH70" s="200">
        <v>0</v>
      </c>
      <c r="BI70" s="200">
        <v>0</v>
      </c>
      <c r="BJ70" s="203">
        <f t="shared" si="8"/>
        <v>33394042.147100002</v>
      </c>
      <c r="BK70" s="203">
        <f t="shared" si="9"/>
        <v>-29997152.221420001</v>
      </c>
      <c r="BL70" s="203">
        <f>$BO$9+SUMPRODUCT($D$10:D70,$BK$10:BK70)</f>
        <v>10765022.344255924</v>
      </c>
      <c r="BM70" s="202">
        <f t="shared" si="10"/>
        <v>5.85</v>
      </c>
      <c r="BN70" s="203">
        <f t="shared" si="13"/>
        <v>20644579.343290001</v>
      </c>
      <c r="BO70" s="204">
        <f t="shared" si="11"/>
        <v>343546219.31493002</v>
      </c>
      <c r="BP70" s="201">
        <f t="shared" si="14"/>
        <v>1068800.6530577659</v>
      </c>
      <c r="BQ70" s="201">
        <f t="shared" si="15"/>
        <v>64662439.509994835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>
      <c r="A71" s="165">
        <f t="shared" si="20"/>
        <v>62</v>
      </c>
      <c r="B71" s="166">
        <f t="shared" si="20"/>
        <v>2081</v>
      </c>
      <c r="C71" s="29">
        <v>5.85</v>
      </c>
      <c r="D71" s="164">
        <f t="shared" si="16"/>
        <v>2.947E-2</v>
      </c>
      <c r="E71" s="200">
        <v>0</v>
      </c>
      <c r="F71" s="203">
        <f t="shared" si="18"/>
        <v>0</v>
      </c>
      <c r="G71" s="200">
        <v>0</v>
      </c>
      <c r="H71" s="200">
        <v>0</v>
      </c>
      <c r="I71" s="200">
        <v>0</v>
      </c>
      <c r="J71" s="200">
        <v>0</v>
      </c>
      <c r="K71" s="200">
        <v>1987.34844</v>
      </c>
      <c r="L71" s="200">
        <v>47.337111329001935</v>
      </c>
      <c r="M71" s="203">
        <f t="shared" si="1"/>
        <v>0</v>
      </c>
      <c r="N71" s="200">
        <v>0</v>
      </c>
      <c r="O71" s="200">
        <v>0</v>
      </c>
      <c r="P71" s="200">
        <v>0</v>
      </c>
      <c r="Q71" s="200">
        <v>0</v>
      </c>
      <c r="R71" s="200">
        <v>0</v>
      </c>
      <c r="S71" s="200">
        <v>0</v>
      </c>
      <c r="T71" s="200">
        <v>0</v>
      </c>
      <c r="U71" s="203">
        <f t="shared" si="2"/>
        <v>0</v>
      </c>
      <c r="V71" s="200">
        <v>0</v>
      </c>
      <c r="W71" s="200">
        <v>0</v>
      </c>
      <c r="X71" s="200">
        <v>0</v>
      </c>
      <c r="Y71" s="200">
        <v>0</v>
      </c>
      <c r="Z71" s="200">
        <v>0</v>
      </c>
      <c r="AA71" s="200">
        <v>0</v>
      </c>
      <c r="AB71" s="200">
        <v>0</v>
      </c>
      <c r="AC71" s="203">
        <f t="shared" si="3"/>
        <v>47370.687669999999</v>
      </c>
      <c r="AD71" s="200">
        <v>38339.673503999999</v>
      </c>
      <c r="AE71" s="200">
        <v>6066.0549840000003</v>
      </c>
      <c r="AF71" s="200">
        <v>0</v>
      </c>
      <c r="AG71" s="200">
        <v>2964.9591840000003</v>
      </c>
      <c r="AH71" s="203">
        <f t="shared" si="4"/>
        <v>5410.9054599999999</v>
      </c>
      <c r="AI71" s="200">
        <v>4967.8485120000005</v>
      </c>
      <c r="AJ71" s="200">
        <v>0</v>
      </c>
      <c r="AK71" s="200">
        <v>0</v>
      </c>
      <c r="AL71" s="200">
        <v>443.05694399999999</v>
      </c>
      <c r="AM71" s="200">
        <v>0</v>
      </c>
      <c r="AN71" s="200">
        <v>2692817.9061840004</v>
      </c>
      <c r="AO71" s="200">
        <v>0</v>
      </c>
      <c r="AP71" s="200">
        <v>0</v>
      </c>
      <c r="AQ71" s="200">
        <v>0</v>
      </c>
      <c r="AR71" s="203">
        <f t="shared" si="5"/>
        <v>2747634.18487</v>
      </c>
      <c r="AS71" s="203">
        <f t="shared" si="6"/>
        <v>152708.73130000001</v>
      </c>
      <c r="AT71" s="200">
        <v>29810.353583999997</v>
      </c>
      <c r="AU71" s="200">
        <v>0</v>
      </c>
      <c r="AV71" s="200">
        <v>0</v>
      </c>
      <c r="AW71" s="200">
        <v>0</v>
      </c>
      <c r="AX71" s="200">
        <v>122898.377712</v>
      </c>
      <c r="AY71" s="200">
        <v>0</v>
      </c>
      <c r="AZ71" s="203">
        <f t="shared" si="7"/>
        <v>26928179.061840001</v>
      </c>
      <c r="BA71" s="200">
        <v>12469014.876280002</v>
      </c>
      <c r="BB71" s="200">
        <v>9513733.8611520007</v>
      </c>
      <c r="BC71" s="200">
        <v>0</v>
      </c>
      <c r="BD71" s="200">
        <v>954767.42229599995</v>
      </c>
      <c r="BE71" s="200">
        <v>61.504743999999995</v>
      </c>
      <c r="BF71" s="200">
        <v>3990601.3973679999</v>
      </c>
      <c r="BG71" s="200">
        <v>0</v>
      </c>
      <c r="BH71" s="200">
        <v>0</v>
      </c>
      <c r="BI71" s="200">
        <v>0</v>
      </c>
      <c r="BJ71" s="203">
        <f t="shared" si="8"/>
        <v>27080887.793140002</v>
      </c>
      <c r="BK71" s="203">
        <f t="shared" si="9"/>
        <v>-24333253.608270001</v>
      </c>
      <c r="BL71" s="203">
        <f>$BO$9+SUMPRODUCT($D$10:D71,$BK$10:BK71)</f>
        <v>10047921.360420227</v>
      </c>
      <c r="BM71" s="202">
        <f t="shared" si="10"/>
        <v>5.85</v>
      </c>
      <c r="BN71" s="203">
        <f t="shared" si="13"/>
        <v>20097453.829920001</v>
      </c>
      <c r="BO71" s="204">
        <f t="shared" si="11"/>
        <v>339310419.53658003</v>
      </c>
      <c r="BP71" s="201">
        <f t="shared" si="14"/>
        <v>819082.37679894897</v>
      </c>
      <c r="BQ71" s="201">
        <f t="shared" si="15"/>
        <v>50373566.173135363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>
      <c r="A72" s="165">
        <f t="shared" si="20"/>
        <v>63</v>
      </c>
      <c r="B72" s="166">
        <f t="shared" si="20"/>
        <v>2082</v>
      </c>
      <c r="C72" s="29">
        <v>5.85</v>
      </c>
      <c r="D72" s="164">
        <f t="shared" si="16"/>
        <v>2.784E-2</v>
      </c>
      <c r="E72" s="200">
        <v>0</v>
      </c>
      <c r="F72" s="203">
        <f t="shared" si="18"/>
        <v>0</v>
      </c>
      <c r="G72" s="200">
        <v>0</v>
      </c>
      <c r="H72" s="200">
        <v>0</v>
      </c>
      <c r="I72" s="200">
        <v>0</v>
      </c>
      <c r="J72" s="200">
        <v>0</v>
      </c>
      <c r="K72" s="200">
        <v>1587.7102560000001</v>
      </c>
      <c r="L72" s="200">
        <v>18.678293989372051</v>
      </c>
      <c r="M72" s="203">
        <f t="shared" si="1"/>
        <v>0</v>
      </c>
      <c r="N72" s="200">
        <v>0</v>
      </c>
      <c r="O72" s="200">
        <v>0</v>
      </c>
      <c r="P72" s="200">
        <v>0</v>
      </c>
      <c r="Q72" s="200">
        <v>0</v>
      </c>
      <c r="R72" s="200">
        <v>0</v>
      </c>
      <c r="S72" s="200">
        <v>0</v>
      </c>
      <c r="T72" s="200">
        <v>0</v>
      </c>
      <c r="U72" s="203">
        <f t="shared" si="2"/>
        <v>0</v>
      </c>
      <c r="V72" s="200">
        <v>0</v>
      </c>
      <c r="W72" s="200">
        <v>0</v>
      </c>
      <c r="X72" s="200">
        <v>0</v>
      </c>
      <c r="Y72" s="200">
        <v>0</v>
      </c>
      <c r="Z72" s="200">
        <v>0</v>
      </c>
      <c r="AA72" s="200">
        <v>0</v>
      </c>
      <c r="AB72" s="200">
        <v>0</v>
      </c>
      <c r="AC72" s="203">
        <f t="shared" si="3"/>
        <v>33166.775139999998</v>
      </c>
      <c r="AD72" s="200">
        <v>27513.154415999998</v>
      </c>
      <c r="AE72" s="200">
        <v>3446.863464</v>
      </c>
      <c r="AF72" s="200">
        <v>0</v>
      </c>
      <c r="AG72" s="200">
        <v>2206.7572559999999</v>
      </c>
      <c r="AH72" s="203">
        <f t="shared" si="4"/>
        <v>3808.4552899999999</v>
      </c>
      <c r="AI72" s="200">
        <v>3482.7999359999999</v>
      </c>
      <c r="AJ72" s="200">
        <v>0</v>
      </c>
      <c r="AK72" s="200">
        <v>0</v>
      </c>
      <c r="AL72" s="200">
        <v>325.65535199999999</v>
      </c>
      <c r="AM72" s="200">
        <v>0</v>
      </c>
      <c r="AN72" s="200">
        <v>2163390.4094248</v>
      </c>
      <c r="AO72" s="200">
        <v>0</v>
      </c>
      <c r="AP72" s="200">
        <v>0</v>
      </c>
      <c r="AQ72" s="200">
        <v>0</v>
      </c>
      <c r="AR72" s="203">
        <f t="shared" si="5"/>
        <v>2201972.0284000002</v>
      </c>
      <c r="AS72" s="203">
        <f t="shared" si="6"/>
        <v>115187.03988</v>
      </c>
      <c r="AT72" s="200">
        <v>19542.358968</v>
      </c>
      <c r="AU72" s="200">
        <v>0</v>
      </c>
      <c r="AV72" s="200">
        <v>0</v>
      </c>
      <c r="AW72" s="200">
        <v>0</v>
      </c>
      <c r="AX72" s="200">
        <v>95644.680911999996</v>
      </c>
      <c r="AY72" s="200">
        <v>0</v>
      </c>
      <c r="AZ72" s="203">
        <f t="shared" si="7"/>
        <v>21633904.094250001</v>
      </c>
      <c r="BA72" s="200">
        <v>10035416.668935999</v>
      </c>
      <c r="BB72" s="200">
        <v>7641748.4820959996</v>
      </c>
      <c r="BC72" s="200">
        <v>0</v>
      </c>
      <c r="BD72" s="200">
        <v>764487.60668800003</v>
      </c>
      <c r="BE72" s="200">
        <v>24.698695999999998</v>
      </c>
      <c r="BF72" s="200">
        <v>3192226.6378319995</v>
      </c>
      <c r="BG72" s="200">
        <v>0</v>
      </c>
      <c r="BH72" s="200">
        <v>0</v>
      </c>
      <c r="BI72" s="200">
        <v>0</v>
      </c>
      <c r="BJ72" s="203">
        <f t="shared" si="8"/>
        <v>21749091.134130001</v>
      </c>
      <c r="BK72" s="203">
        <f t="shared" si="9"/>
        <v>-19547119.105730001</v>
      </c>
      <c r="BL72" s="203">
        <f>$BO$9+SUMPRODUCT($D$10:D72,$BK$10:BK72)</f>
        <v>9503729.5645167828</v>
      </c>
      <c r="BM72" s="202">
        <f t="shared" si="10"/>
        <v>5.85</v>
      </c>
      <c r="BN72" s="203">
        <f t="shared" si="13"/>
        <v>19849659.542890001</v>
      </c>
      <c r="BO72" s="204">
        <f t="shared" si="11"/>
        <v>339612959.97373998</v>
      </c>
      <c r="BP72" s="201">
        <f t="shared" si="14"/>
        <v>621617.5273098289</v>
      </c>
      <c r="BQ72" s="201">
        <f t="shared" si="15"/>
        <v>38851095.456864305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165">
        <f t="shared" si="20"/>
        <v>64</v>
      </c>
      <c r="B73" s="166">
        <f t="shared" si="20"/>
        <v>2083</v>
      </c>
      <c r="C73" s="29">
        <v>5.85</v>
      </c>
      <c r="D73" s="164">
        <f t="shared" si="16"/>
        <v>2.63E-2</v>
      </c>
      <c r="E73" s="200">
        <v>0</v>
      </c>
      <c r="F73" s="203">
        <f t="shared" si="18"/>
        <v>0</v>
      </c>
      <c r="G73" s="200">
        <v>0</v>
      </c>
      <c r="H73" s="200">
        <v>0</v>
      </c>
      <c r="I73" s="200">
        <v>0</v>
      </c>
      <c r="J73" s="200">
        <v>0</v>
      </c>
      <c r="K73" s="200">
        <v>1268.5994640000001</v>
      </c>
      <c r="L73" s="200">
        <v>6.7721771454382411</v>
      </c>
      <c r="M73" s="203">
        <f t="shared" si="1"/>
        <v>0</v>
      </c>
      <c r="N73" s="200">
        <v>0</v>
      </c>
      <c r="O73" s="200">
        <v>0</v>
      </c>
      <c r="P73" s="200">
        <v>0</v>
      </c>
      <c r="Q73" s="200">
        <v>0</v>
      </c>
      <c r="R73" s="200">
        <v>0</v>
      </c>
      <c r="S73" s="200">
        <v>0</v>
      </c>
      <c r="T73" s="200">
        <v>0</v>
      </c>
      <c r="U73" s="203">
        <f t="shared" si="2"/>
        <v>0</v>
      </c>
      <c r="V73" s="200">
        <v>0</v>
      </c>
      <c r="W73" s="200">
        <v>0</v>
      </c>
      <c r="X73" s="200">
        <v>0</v>
      </c>
      <c r="Y73" s="200">
        <v>0</v>
      </c>
      <c r="Z73" s="200">
        <v>0</v>
      </c>
      <c r="AA73" s="200">
        <v>0</v>
      </c>
      <c r="AB73" s="200">
        <v>0</v>
      </c>
      <c r="AC73" s="203">
        <f t="shared" si="3"/>
        <v>23116.392019999999</v>
      </c>
      <c r="AD73" s="200">
        <v>19638.827735999999</v>
      </c>
      <c r="AE73" s="200">
        <v>1856.5451520000001</v>
      </c>
      <c r="AF73" s="200">
        <v>0</v>
      </c>
      <c r="AG73" s="200">
        <v>1621.0191359999999</v>
      </c>
      <c r="AH73" s="203">
        <f t="shared" si="4"/>
        <v>2664.6810999999998</v>
      </c>
      <c r="AI73" s="200">
        <v>2429.1453120000001</v>
      </c>
      <c r="AJ73" s="200">
        <v>0</v>
      </c>
      <c r="AK73" s="200">
        <v>0</v>
      </c>
      <c r="AL73" s="200">
        <v>235.53578400000001</v>
      </c>
      <c r="AM73" s="200">
        <v>0</v>
      </c>
      <c r="AN73" s="200">
        <v>1720317.5703672001</v>
      </c>
      <c r="AO73" s="200">
        <v>0</v>
      </c>
      <c r="AP73" s="200">
        <v>0</v>
      </c>
      <c r="AQ73" s="200">
        <v>0</v>
      </c>
      <c r="AR73" s="203">
        <f t="shared" si="5"/>
        <v>1747374.01513</v>
      </c>
      <c r="AS73" s="203">
        <f t="shared" si="6"/>
        <v>85868.583240000007</v>
      </c>
      <c r="AT73" s="200">
        <v>12185.081832</v>
      </c>
      <c r="AU73" s="200">
        <v>0</v>
      </c>
      <c r="AV73" s="200">
        <v>0</v>
      </c>
      <c r="AW73" s="200">
        <v>0</v>
      </c>
      <c r="AX73" s="200">
        <v>73683.501407999996</v>
      </c>
      <c r="AY73" s="200">
        <v>0</v>
      </c>
      <c r="AZ73" s="203">
        <f t="shared" si="7"/>
        <v>17203175.703669999</v>
      </c>
      <c r="BA73" s="200">
        <v>7987396.7028799998</v>
      </c>
      <c r="BB73" s="200">
        <v>6085631.1453439994</v>
      </c>
      <c r="BC73" s="200">
        <v>0</v>
      </c>
      <c r="BD73" s="200">
        <v>605147.78793600004</v>
      </c>
      <c r="BE73" s="200">
        <v>9.283728</v>
      </c>
      <c r="BF73" s="200">
        <v>2524990.7837840002</v>
      </c>
      <c r="BG73" s="200">
        <v>0</v>
      </c>
      <c r="BH73" s="200">
        <v>0</v>
      </c>
      <c r="BI73" s="200">
        <v>0</v>
      </c>
      <c r="BJ73" s="203">
        <f t="shared" si="8"/>
        <v>17289044.286910001</v>
      </c>
      <c r="BK73" s="203">
        <f t="shared" si="9"/>
        <v>-15541670.271779999</v>
      </c>
      <c r="BL73" s="203">
        <f>$BO$9+SUMPRODUCT($D$10:D73,$BK$10:BK73)</f>
        <v>9094983.6363689899</v>
      </c>
      <c r="BM73" s="202">
        <f t="shared" si="10"/>
        <v>5.85</v>
      </c>
      <c r="BN73" s="203">
        <f t="shared" si="13"/>
        <v>19867358.158459999</v>
      </c>
      <c r="BO73" s="204">
        <f t="shared" si="11"/>
        <v>343938647.86041999</v>
      </c>
      <c r="BP73" s="201">
        <f t="shared" si="14"/>
        <v>466931.45651482191</v>
      </c>
      <c r="BQ73" s="201">
        <f t="shared" si="15"/>
        <v>29650147.488691192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165">
        <f t="shared" si="20"/>
        <v>65</v>
      </c>
      <c r="B74" s="166">
        <f t="shared" si="20"/>
        <v>2084</v>
      </c>
      <c r="C74" s="29">
        <v>5.85</v>
      </c>
      <c r="D74" s="164">
        <f t="shared" si="16"/>
        <v>2.4850000000000001E-2</v>
      </c>
      <c r="E74" s="200">
        <v>0</v>
      </c>
      <c r="F74" s="203">
        <f t="shared" si="18"/>
        <v>0</v>
      </c>
      <c r="G74" s="200">
        <v>0</v>
      </c>
      <c r="H74" s="200">
        <v>0</v>
      </c>
      <c r="I74" s="200">
        <v>0</v>
      </c>
      <c r="J74" s="200">
        <v>0</v>
      </c>
      <c r="K74" s="200">
        <v>1015.618032</v>
      </c>
      <c r="L74" s="200">
        <v>2.3628942799315342</v>
      </c>
      <c r="M74" s="203">
        <f t="shared" ref="M74:M137" si="21">ROUND(SUM(N74:T74),5)</f>
        <v>0</v>
      </c>
      <c r="N74" s="200">
        <v>0</v>
      </c>
      <c r="O74" s="200">
        <v>0</v>
      </c>
      <c r="P74" s="200">
        <v>0</v>
      </c>
      <c r="Q74" s="200">
        <v>0</v>
      </c>
      <c r="R74" s="200">
        <v>0</v>
      </c>
      <c r="S74" s="200">
        <v>0</v>
      </c>
      <c r="T74" s="200">
        <v>0</v>
      </c>
      <c r="U74" s="203">
        <f t="shared" ref="U74:U137" si="22">ROUND(SUM(V74:AB74),5)</f>
        <v>0</v>
      </c>
      <c r="V74" s="200">
        <v>0</v>
      </c>
      <c r="W74" s="200">
        <v>0</v>
      </c>
      <c r="X74" s="200">
        <v>0</v>
      </c>
      <c r="Y74" s="200">
        <v>0</v>
      </c>
      <c r="Z74" s="200">
        <v>0</v>
      </c>
      <c r="AA74" s="200">
        <v>0</v>
      </c>
      <c r="AB74" s="200">
        <v>0</v>
      </c>
      <c r="AC74" s="203">
        <f t="shared" ref="AC74:AC137" si="23">ROUND(SUM(AD74:AG74),5)</f>
        <v>16020.496800000001</v>
      </c>
      <c r="AD74" s="200">
        <v>13928.09352</v>
      </c>
      <c r="AE74" s="200">
        <v>919.13949600000001</v>
      </c>
      <c r="AF74" s="200">
        <v>0</v>
      </c>
      <c r="AG74" s="200">
        <v>1173.2637840000002</v>
      </c>
      <c r="AH74" s="203">
        <f t="shared" ref="AH74:AH137" si="24">ROUND(SUM(AI74:AM74),5)</f>
        <v>1846.11293</v>
      </c>
      <c r="AI74" s="200">
        <v>1679.1973439999999</v>
      </c>
      <c r="AJ74" s="200">
        <v>0</v>
      </c>
      <c r="AK74" s="200">
        <v>0</v>
      </c>
      <c r="AL74" s="200">
        <v>166.915584</v>
      </c>
      <c r="AM74" s="200">
        <v>0</v>
      </c>
      <c r="AN74" s="200">
        <v>1353256.2922888</v>
      </c>
      <c r="AO74" s="200">
        <v>0</v>
      </c>
      <c r="AP74" s="200">
        <v>0</v>
      </c>
      <c r="AQ74" s="200">
        <v>0</v>
      </c>
      <c r="AR74" s="203">
        <f t="shared" ref="AR74:AR137" si="25">ROUND(F74+K74+L74+M74+U74+AC74+AH74+AN74+AO74+AP74+AQ74,5)</f>
        <v>1372140.88295</v>
      </c>
      <c r="AS74" s="203">
        <f t="shared" ref="AS74:AS137" si="26">ROUND(SUM(AT74:AY74),5)</f>
        <v>63429.367579999998</v>
      </c>
      <c r="AT74" s="200">
        <v>7194.6301679999997</v>
      </c>
      <c r="AU74" s="200">
        <v>0</v>
      </c>
      <c r="AV74" s="200">
        <v>0</v>
      </c>
      <c r="AW74" s="200">
        <v>0</v>
      </c>
      <c r="AX74" s="200">
        <v>56234.737416000004</v>
      </c>
      <c r="AY74" s="200">
        <v>0</v>
      </c>
      <c r="AZ74" s="203">
        <f t="shared" ref="AZ74:AZ137" si="27">ROUND(SUM(BA74:BI74),5)</f>
        <v>13532562.92289</v>
      </c>
      <c r="BA74" s="200">
        <v>6282175.3599439999</v>
      </c>
      <c r="BB74" s="200">
        <v>4803461.7465279996</v>
      </c>
      <c r="BC74" s="200">
        <v>0</v>
      </c>
      <c r="BD74" s="200">
        <v>473368.38061599998</v>
      </c>
      <c r="BE74" s="200">
        <v>3.2510960000000004</v>
      </c>
      <c r="BF74" s="200">
        <v>1973554.1847039999</v>
      </c>
      <c r="BG74" s="200">
        <v>0</v>
      </c>
      <c r="BH74" s="200">
        <v>0</v>
      </c>
      <c r="BI74" s="200">
        <v>0</v>
      </c>
      <c r="BJ74" s="203">
        <f t="shared" ref="BJ74:BJ137" si="28">ROUND(AS74+AZ74,5)</f>
        <v>13595992.29047</v>
      </c>
      <c r="BK74" s="203">
        <f t="shared" ref="BK74:BK137" si="29">ROUND(AR74-BJ74,5)</f>
        <v>-12223851.40752</v>
      </c>
      <c r="BL74" s="203">
        <f>$BO$9+SUMPRODUCT($D$10:D74,$BK$10:BK74)</f>
        <v>8791220.9288921356</v>
      </c>
      <c r="BM74" s="202">
        <f t="shared" ref="BM74:BM137" si="30">ROUND(C74,5)</f>
        <v>5.85</v>
      </c>
      <c r="BN74" s="203">
        <f t="shared" si="13"/>
        <v>20120410.899829999</v>
      </c>
      <c r="BO74" s="204">
        <f t="shared" ref="BO74:BO137" si="31">IF(BO73+BK74+BN74&gt;0,ROUND(BO73+BK74+BN74,5),0)</f>
        <v>351835207.35272998</v>
      </c>
      <c r="BP74" s="201">
        <f t="shared" si="14"/>
        <v>346959.83476426249</v>
      </c>
      <c r="BQ74" s="201">
        <f t="shared" si="15"/>
        <v>22378909.342294931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165">
        <f t="shared" ref="A75:B90" si="32">A74+1</f>
        <v>66</v>
      </c>
      <c r="B75" s="166">
        <f t="shared" si="32"/>
        <v>2085</v>
      </c>
      <c r="C75" s="29">
        <v>5.85</v>
      </c>
      <c r="D75" s="164">
        <f t="shared" si="16"/>
        <v>2.3480000000000001E-2</v>
      </c>
      <c r="E75" s="200">
        <v>0</v>
      </c>
      <c r="F75" s="203">
        <f t="shared" si="18"/>
        <v>0</v>
      </c>
      <c r="G75" s="200">
        <v>0</v>
      </c>
      <c r="H75" s="200">
        <v>0</v>
      </c>
      <c r="I75" s="200">
        <v>0</v>
      </c>
      <c r="J75" s="200">
        <v>0</v>
      </c>
      <c r="K75" s="200">
        <v>814.24094400000001</v>
      </c>
      <c r="L75" s="200">
        <v>0.59203615531923048</v>
      </c>
      <c r="M75" s="203">
        <f t="shared" si="21"/>
        <v>0</v>
      </c>
      <c r="N75" s="200">
        <v>0</v>
      </c>
      <c r="O75" s="200">
        <v>0</v>
      </c>
      <c r="P75" s="200">
        <v>0</v>
      </c>
      <c r="Q75" s="200">
        <v>0</v>
      </c>
      <c r="R75" s="200">
        <v>0</v>
      </c>
      <c r="S75" s="200">
        <v>0</v>
      </c>
      <c r="T75" s="200">
        <v>0</v>
      </c>
      <c r="U75" s="203">
        <f t="shared" si="22"/>
        <v>0</v>
      </c>
      <c r="V75" s="200">
        <v>0</v>
      </c>
      <c r="W75" s="200">
        <v>0</v>
      </c>
      <c r="X75" s="200">
        <v>0</v>
      </c>
      <c r="Y75" s="200">
        <v>0</v>
      </c>
      <c r="Z75" s="200">
        <v>0</v>
      </c>
      <c r="AA75" s="200">
        <v>0</v>
      </c>
      <c r="AB75" s="200">
        <v>0</v>
      </c>
      <c r="AC75" s="203">
        <f t="shared" si="23"/>
        <v>10983.91087</v>
      </c>
      <c r="AD75" s="200">
        <v>9745.2893999999997</v>
      </c>
      <c r="AE75" s="200">
        <v>405.86040000000003</v>
      </c>
      <c r="AF75" s="200">
        <v>0</v>
      </c>
      <c r="AG75" s="200">
        <v>832.76107200000001</v>
      </c>
      <c r="AH75" s="203">
        <f t="shared" si="24"/>
        <v>1258.1086299999999</v>
      </c>
      <c r="AI75" s="200">
        <v>1143.0513600000002</v>
      </c>
      <c r="AJ75" s="200">
        <v>0</v>
      </c>
      <c r="AK75" s="200">
        <v>0</v>
      </c>
      <c r="AL75" s="200">
        <v>115.05727200000001</v>
      </c>
      <c r="AM75" s="200">
        <v>0</v>
      </c>
      <c r="AN75" s="200">
        <v>1052316.6146551999</v>
      </c>
      <c r="AO75" s="200">
        <v>0</v>
      </c>
      <c r="AP75" s="200">
        <v>0</v>
      </c>
      <c r="AQ75" s="200">
        <v>0</v>
      </c>
      <c r="AR75" s="203">
        <f t="shared" si="25"/>
        <v>1065373.4671400001</v>
      </c>
      <c r="AS75" s="203">
        <f t="shared" si="26"/>
        <v>46579.51874</v>
      </c>
      <c r="AT75" s="200">
        <v>4029.8567759999996</v>
      </c>
      <c r="AU75" s="200">
        <v>0</v>
      </c>
      <c r="AV75" s="200">
        <v>0</v>
      </c>
      <c r="AW75" s="200">
        <v>0</v>
      </c>
      <c r="AX75" s="200">
        <v>42549.661968</v>
      </c>
      <c r="AY75" s="200">
        <v>0</v>
      </c>
      <c r="AZ75" s="203">
        <f t="shared" si="27"/>
        <v>10523166.14655</v>
      </c>
      <c r="BA75" s="200">
        <v>4878631.7401040001</v>
      </c>
      <c r="BB75" s="200">
        <v>3756049.3529679994</v>
      </c>
      <c r="BC75" s="200">
        <v>0</v>
      </c>
      <c r="BD75" s="200">
        <v>365729.017872</v>
      </c>
      <c r="BE75" s="200">
        <v>1.057496</v>
      </c>
      <c r="BF75" s="200">
        <v>1522754.978112</v>
      </c>
      <c r="BG75" s="200">
        <v>0</v>
      </c>
      <c r="BH75" s="200">
        <v>0</v>
      </c>
      <c r="BI75" s="200">
        <v>0</v>
      </c>
      <c r="BJ75" s="203">
        <f t="shared" si="28"/>
        <v>10569745.66529</v>
      </c>
      <c r="BK75" s="203">
        <f t="shared" si="29"/>
        <v>-9504372.1981499996</v>
      </c>
      <c r="BL75" s="203">
        <f>$BO$9+SUMPRODUCT($D$10:D75,$BK$10:BK75)</f>
        <v>8568058.2696795464</v>
      </c>
      <c r="BM75" s="202">
        <f t="shared" si="30"/>
        <v>5.85</v>
      </c>
      <c r="BN75" s="203">
        <f t="shared" ref="BN75:BN138" si="33">IF($A$10=0,IF(BO74+BK75&lt;0,0,ROUND(BM75/100*(BO74+BK75),5)),ROUND(BM75/100*BO74,5))</f>
        <v>20582359.63013</v>
      </c>
      <c r="BO75" s="204">
        <f t="shared" si="31"/>
        <v>362913194.78470999</v>
      </c>
      <c r="BP75" s="201">
        <f t="shared" ref="BP75:BP138" si="34">(1/((1+$C75/100)^($A75-0.5)))*(AS75+AZ75-AY75-BH75-F75-AC75-AH75)</f>
        <v>254864.73993638452</v>
      </c>
      <c r="BQ75" s="201">
        <f t="shared" ref="BQ75:BQ138" si="35">$BP75*($A75-0.5)</f>
        <v>16693640.465833185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>
      <c r="A76" s="165">
        <f t="shared" si="32"/>
        <v>67</v>
      </c>
      <c r="B76" s="166">
        <f t="shared" si="32"/>
        <v>2086</v>
      </c>
      <c r="C76" s="29">
        <v>5.85</v>
      </c>
      <c r="D76" s="164">
        <f t="shared" ref="D76:D139" si="36">ROUND((1+C76/100)^-1*D75,5)</f>
        <v>2.2179999999999998E-2</v>
      </c>
      <c r="E76" s="200">
        <v>0</v>
      </c>
      <c r="F76" s="203">
        <f t="shared" si="18"/>
        <v>0</v>
      </c>
      <c r="G76" s="200">
        <v>0</v>
      </c>
      <c r="H76" s="200">
        <v>0</v>
      </c>
      <c r="I76" s="200">
        <v>0</v>
      </c>
      <c r="J76" s="200">
        <v>0</v>
      </c>
      <c r="K76" s="200">
        <v>650.56833599999993</v>
      </c>
      <c r="L76" s="200">
        <v>5.6829040340023722E-2</v>
      </c>
      <c r="M76" s="203">
        <f t="shared" si="21"/>
        <v>0</v>
      </c>
      <c r="N76" s="200">
        <v>0</v>
      </c>
      <c r="O76" s="200">
        <v>0</v>
      </c>
      <c r="P76" s="200">
        <v>0</v>
      </c>
      <c r="Q76" s="200">
        <v>0</v>
      </c>
      <c r="R76" s="200">
        <v>0</v>
      </c>
      <c r="S76" s="200">
        <v>0</v>
      </c>
      <c r="T76" s="200">
        <v>0</v>
      </c>
      <c r="U76" s="203">
        <f t="shared" si="22"/>
        <v>0</v>
      </c>
      <c r="V76" s="200">
        <v>0</v>
      </c>
      <c r="W76" s="200">
        <v>0</v>
      </c>
      <c r="X76" s="200">
        <v>0</v>
      </c>
      <c r="Y76" s="200">
        <v>0</v>
      </c>
      <c r="Z76" s="200">
        <v>0</v>
      </c>
      <c r="AA76" s="200">
        <v>0</v>
      </c>
      <c r="AB76" s="200">
        <v>0</v>
      </c>
      <c r="AC76" s="203">
        <f t="shared" si="23"/>
        <v>7389.0133699999997</v>
      </c>
      <c r="AD76" s="200">
        <v>6654.1471920000004</v>
      </c>
      <c r="AE76" s="200">
        <v>159.960768</v>
      </c>
      <c r="AF76" s="200">
        <v>0</v>
      </c>
      <c r="AG76" s="200">
        <v>574.90540799999997</v>
      </c>
      <c r="AH76" s="203">
        <f t="shared" si="24"/>
        <v>835.68169999999998</v>
      </c>
      <c r="AI76" s="200">
        <v>759.17872800000009</v>
      </c>
      <c r="AJ76" s="200">
        <v>0</v>
      </c>
      <c r="AK76" s="200">
        <v>0</v>
      </c>
      <c r="AL76" s="200">
        <v>76.50297599999999</v>
      </c>
      <c r="AM76" s="200">
        <v>0</v>
      </c>
      <c r="AN76" s="200">
        <v>808191.20808879996</v>
      </c>
      <c r="AO76" s="200">
        <v>0</v>
      </c>
      <c r="AP76" s="200">
        <v>0</v>
      </c>
      <c r="AQ76" s="200">
        <v>0</v>
      </c>
      <c r="AR76" s="203">
        <f t="shared" si="25"/>
        <v>817066.52832000004</v>
      </c>
      <c r="AS76" s="203">
        <f t="shared" si="26"/>
        <v>34065.333460000002</v>
      </c>
      <c r="AT76" s="200">
        <v>2160.6034560000003</v>
      </c>
      <c r="AU76" s="200">
        <v>0</v>
      </c>
      <c r="AV76" s="200">
        <v>0</v>
      </c>
      <c r="AW76" s="200">
        <v>0</v>
      </c>
      <c r="AX76" s="200">
        <v>31904.73</v>
      </c>
      <c r="AY76" s="200">
        <v>0</v>
      </c>
      <c r="AZ76" s="203">
        <f t="shared" si="27"/>
        <v>8081912.0808899999</v>
      </c>
      <c r="BA76" s="200">
        <v>3738089.330536</v>
      </c>
      <c r="BB76" s="200">
        <v>2906280.8948400002</v>
      </c>
      <c r="BC76" s="200">
        <v>0</v>
      </c>
      <c r="BD76" s="200">
        <v>278890.15928000002</v>
      </c>
      <c r="BE76" s="200">
        <v>0.31327199999999999</v>
      </c>
      <c r="BF76" s="200">
        <v>1158651.3829599998</v>
      </c>
      <c r="BG76" s="200">
        <v>0</v>
      </c>
      <c r="BH76" s="200">
        <v>0</v>
      </c>
      <c r="BI76" s="200">
        <v>0</v>
      </c>
      <c r="BJ76" s="203">
        <f t="shared" si="28"/>
        <v>8115977.4143500002</v>
      </c>
      <c r="BK76" s="203">
        <f t="shared" si="29"/>
        <v>-7298910.8860299997</v>
      </c>
      <c r="BL76" s="203">
        <f>$BO$9+SUMPRODUCT($D$10:D76,$BK$10:BK76)</f>
        <v>8406168.4262273312</v>
      </c>
      <c r="BM76" s="202">
        <f t="shared" si="30"/>
        <v>5.85</v>
      </c>
      <c r="BN76" s="203">
        <f t="shared" si="33"/>
        <v>21230421.89491</v>
      </c>
      <c r="BO76" s="204">
        <f t="shared" si="31"/>
        <v>376844705.79359001</v>
      </c>
      <c r="BP76" s="201">
        <f t="shared" si="34"/>
        <v>184909.04172596129</v>
      </c>
      <c r="BQ76" s="201">
        <f t="shared" si="35"/>
        <v>12296451.274776425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>
      <c r="A77" s="165">
        <f t="shared" si="32"/>
        <v>68</v>
      </c>
      <c r="B77" s="166">
        <f t="shared" si="32"/>
        <v>2087</v>
      </c>
      <c r="C77" s="29">
        <v>5.85</v>
      </c>
      <c r="D77" s="164">
        <f t="shared" si="36"/>
        <v>2.095E-2</v>
      </c>
      <c r="E77" s="200">
        <v>0</v>
      </c>
      <c r="F77" s="203">
        <f t="shared" si="18"/>
        <v>0</v>
      </c>
      <c r="G77" s="200">
        <v>0</v>
      </c>
      <c r="H77" s="200">
        <v>0</v>
      </c>
      <c r="I77" s="200">
        <v>0</v>
      </c>
      <c r="J77" s="200">
        <v>0</v>
      </c>
      <c r="K77" s="200">
        <v>512.18507999999997</v>
      </c>
      <c r="L77" s="200">
        <v>0</v>
      </c>
      <c r="M77" s="203">
        <f t="shared" si="21"/>
        <v>0</v>
      </c>
      <c r="N77" s="200">
        <v>0</v>
      </c>
      <c r="O77" s="200">
        <v>0</v>
      </c>
      <c r="P77" s="200">
        <v>0</v>
      </c>
      <c r="Q77" s="200">
        <v>0</v>
      </c>
      <c r="R77" s="200">
        <v>0</v>
      </c>
      <c r="S77" s="200">
        <v>0</v>
      </c>
      <c r="T77" s="200">
        <v>0</v>
      </c>
      <c r="U77" s="203">
        <f t="shared" si="22"/>
        <v>0</v>
      </c>
      <c r="V77" s="200">
        <v>0</v>
      </c>
      <c r="W77" s="200">
        <v>0</v>
      </c>
      <c r="X77" s="200">
        <v>0</v>
      </c>
      <c r="Y77" s="200">
        <v>0</v>
      </c>
      <c r="Z77" s="200">
        <v>0</v>
      </c>
      <c r="AA77" s="200">
        <v>0</v>
      </c>
      <c r="AB77" s="200">
        <v>0</v>
      </c>
      <c r="AC77" s="203">
        <f t="shared" si="23"/>
        <v>4830.5397400000002</v>
      </c>
      <c r="AD77" s="200">
        <v>4386.0761999999995</v>
      </c>
      <c r="AE77" s="200">
        <v>61.968191999999995</v>
      </c>
      <c r="AF77" s="200">
        <v>0</v>
      </c>
      <c r="AG77" s="200">
        <v>382.49534399999999</v>
      </c>
      <c r="AH77" s="203">
        <f t="shared" si="24"/>
        <v>535.85293999999999</v>
      </c>
      <c r="AI77" s="200">
        <v>487.18876799999998</v>
      </c>
      <c r="AJ77" s="200">
        <v>0</v>
      </c>
      <c r="AK77" s="200">
        <v>0</v>
      </c>
      <c r="AL77" s="200">
        <v>48.664175999999998</v>
      </c>
      <c r="AM77" s="200">
        <v>0</v>
      </c>
      <c r="AN77" s="200">
        <v>612320.46166080004</v>
      </c>
      <c r="AO77" s="200">
        <v>0</v>
      </c>
      <c r="AP77" s="200">
        <v>0</v>
      </c>
      <c r="AQ77" s="200">
        <v>0</v>
      </c>
      <c r="AR77" s="203">
        <f t="shared" si="25"/>
        <v>618199.03942000004</v>
      </c>
      <c r="AS77" s="203">
        <f t="shared" si="26"/>
        <v>24790.65653</v>
      </c>
      <c r="AT77" s="200">
        <v>1121.2198799999999</v>
      </c>
      <c r="AU77" s="200">
        <v>0</v>
      </c>
      <c r="AV77" s="200">
        <v>0</v>
      </c>
      <c r="AW77" s="200">
        <v>0</v>
      </c>
      <c r="AX77" s="200">
        <v>23669.436647999999</v>
      </c>
      <c r="AY77" s="200">
        <v>0</v>
      </c>
      <c r="AZ77" s="203">
        <f t="shared" si="27"/>
        <v>6123204.6166099999</v>
      </c>
      <c r="BA77" s="200">
        <v>2824360.384424</v>
      </c>
      <c r="BB77" s="200">
        <v>2220826.9920239998</v>
      </c>
      <c r="BC77" s="200">
        <v>0</v>
      </c>
      <c r="BD77" s="200">
        <v>209730.79138400001</v>
      </c>
      <c r="BE77" s="200">
        <v>8.8144E-2</v>
      </c>
      <c r="BF77" s="200">
        <v>868286.36063200003</v>
      </c>
      <c r="BG77" s="200">
        <v>0</v>
      </c>
      <c r="BH77" s="200">
        <v>0</v>
      </c>
      <c r="BI77" s="200">
        <v>0</v>
      </c>
      <c r="BJ77" s="203">
        <f t="shared" si="28"/>
        <v>6147995.2731400002</v>
      </c>
      <c r="BK77" s="203">
        <f t="shared" si="29"/>
        <v>-5529796.2337199999</v>
      </c>
      <c r="BL77" s="203">
        <f>$BO$9+SUMPRODUCT($D$10:D77,$BK$10:BK77)</f>
        <v>8290319.195130825</v>
      </c>
      <c r="BM77" s="202">
        <f t="shared" si="30"/>
        <v>5.85</v>
      </c>
      <c r="BN77" s="203">
        <f t="shared" si="33"/>
        <v>22045415.288929999</v>
      </c>
      <c r="BO77" s="204">
        <f t="shared" si="31"/>
        <v>393360324.8488</v>
      </c>
      <c r="BP77" s="201">
        <f t="shared" si="34"/>
        <v>132349.1231509535</v>
      </c>
      <c r="BQ77" s="201">
        <f t="shared" si="35"/>
        <v>8933565.8126893621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>
      <c r="A78" s="165">
        <f t="shared" si="32"/>
        <v>69</v>
      </c>
      <c r="B78" s="166">
        <f t="shared" si="32"/>
        <v>2088</v>
      </c>
      <c r="C78" s="29">
        <v>5.85</v>
      </c>
      <c r="D78" s="164">
        <f t="shared" si="36"/>
        <v>1.9789999999999999E-2</v>
      </c>
      <c r="E78" s="200">
        <v>0</v>
      </c>
      <c r="F78" s="203">
        <f t="shared" si="18"/>
        <v>0</v>
      </c>
      <c r="G78" s="200">
        <v>0</v>
      </c>
      <c r="H78" s="200">
        <v>0</v>
      </c>
      <c r="I78" s="200">
        <v>0</v>
      </c>
      <c r="J78" s="200">
        <v>0</v>
      </c>
      <c r="K78" s="200">
        <v>392.11682400000001</v>
      </c>
      <c r="L78" s="200">
        <v>0</v>
      </c>
      <c r="M78" s="203">
        <f t="shared" si="21"/>
        <v>0</v>
      </c>
      <c r="N78" s="200">
        <v>0</v>
      </c>
      <c r="O78" s="200">
        <v>0</v>
      </c>
      <c r="P78" s="200">
        <v>0</v>
      </c>
      <c r="Q78" s="200">
        <v>0</v>
      </c>
      <c r="R78" s="200">
        <v>0</v>
      </c>
      <c r="S78" s="200">
        <v>0</v>
      </c>
      <c r="T78" s="200">
        <v>0</v>
      </c>
      <c r="U78" s="203">
        <f t="shared" si="22"/>
        <v>0</v>
      </c>
      <c r="V78" s="200">
        <v>0</v>
      </c>
      <c r="W78" s="200">
        <v>0</v>
      </c>
      <c r="X78" s="200">
        <v>0</v>
      </c>
      <c r="Y78" s="200">
        <v>0</v>
      </c>
      <c r="Z78" s="200">
        <v>0</v>
      </c>
      <c r="AA78" s="200">
        <v>0</v>
      </c>
      <c r="AB78" s="200">
        <v>0</v>
      </c>
      <c r="AC78" s="203">
        <f t="shared" si="23"/>
        <v>3038.56106</v>
      </c>
      <c r="AD78" s="200">
        <v>2768.2316639999999</v>
      </c>
      <c r="AE78" s="200">
        <v>27.086663999999999</v>
      </c>
      <c r="AF78" s="200">
        <v>0</v>
      </c>
      <c r="AG78" s="200">
        <v>243.24273600000001</v>
      </c>
      <c r="AH78" s="203">
        <f t="shared" si="24"/>
        <v>328.53690999999998</v>
      </c>
      <c r="AI78" s="200">
        <v>299.21337599999998</v>
      </c>
      <c r="AJ78" s="200">
        <v>0</v>
      </c>
      <c r="AK78" s="200">
        <v>0</v>
      </c>
      <c r="AL78" s="200">
        <v>29.323536000000001</v>
      </c>
      <c r="AM78" s="200">
        <v>0</v>
      </c>
      <c r="AN78" s="200">
        <v>457003.65609360003</v>
      </c>
      <c r="AO78" s="200">
        <v>0</v>
      </c>
      <c r="AP78" s="200">
        <v>0</v>
      </c>
      <c r="AQ78" s="200">
        <v>0</v>
      </c>
      <c r="AR78" s="203">
        <f t="shared" si="25"/>
        <v>460762.87089000002</v>
      </c>
      <c r="AS78" s="203">
        <f t="shared" si="26"/>
        <v>17907.664629999999</v>
      </c>
      <c r="AT78" s="200">
        <v>552.56599200000005</v>
      </c>
      <c r="AU78" s="200">
        <v>0</v>
      </c>
      <c r="AV78" s="200">
        <v>0</v>
      </c>
      <c r="AW78" s="200">
        <v>0</v>
      </c>
      <c r="AX78" s="200">
        <v>17355.09864</v>
      </c>
      <c r="AY78" s="200">
        <v>0</v>
      </c>
      <c r="AZ78" s="203">
        <f t="shared" si="27"/>
        <v>4570036.5609400002</v>
      </c>
      <c r="BA78" s="200">
        <v>2103312.3625600003</v>
      </c>
      <c r="BB78" s="200">
        <v>1671709.7206559998</v>
      </c>
      <c r="BC78" s="200">
        <v>0</v>
      </c>
      <c r="BD78" s="200">
        <v>155392.05265600001</v>
      </c>
      <c r="BE78" s="200">
        <v>1.9536000000000001E-2</v>
      </c>
      <c r="BF78" s="200">
        <v>639622.40552799997</v>
      </c>
      <c r="BG78" s="200">
        <v>0</v>
      </c>
      <c r="BH78" s="200">
        <v>0</v>
      </c>
      <c r="BI78" s="200">
        <v>0</v>
      </c>
      <c r="BJ78" s="203">
        <f t="shared" si="28"/>
        <v>4587944.2255699998</v>
      </c>
      <c r="BK78" s="203">
        <f t="shared" si="29"/>
        <v>-4127181.3546799999</v>
      </c>
      <c r="BL78" s="203">
        <f>$BO$9+SUMPRODUCT($D$10:D78,$BK$10:BK78)</f>
        <v>8208642.2761216164</v>
      </c>
      <c r="BM78" s="202">
        <f t="shared" si="30"/>
        <v>5.85</v>
      </c>
      <c r="BN78" s="203">
        <f t="shared" si="33"/>
        <v>23011579.003649998</v>
      </c>
      <c r="BO78" s="204">
        <f t="shared" si="31"/>
        <v>412244722.49777001</v>
      </c>
      <c r="BP78" s="201">
        <f t="shared" si="34"/>
        <v>93320.103552336979</v>
      </c>
      <c r="BQ78" s="201">
        <f t="shared" si="35"/>
        <v>6392427.0933350828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>
      <c r="A79" s="165">
        <f t="shared" si="32"/>
        <v>70</v>
      </c>
      <c r="B79" s="166">
        <f t="shared" si="32"/>
        <v>2089</v>
      </c>
      <c r="C79" s="29">
        <v>5.85</v>
      </c>
      <c r="D79" s="164">
        <f t="shared" si="36"/>
        <v>1.8700000000000001E-2</v>
      </c>
      <c r="E79" s="200">
        <v>0</v>
      </c>
      <c r="F79" s="203">
        <f t="shared" si="18"/>
        <v>0</v>
      </c>
      <c r="G79" s="200">
        <v>0</v>
      </c>
      <c r="H79" s="200">
        <v>0</v>
      </c>
      <c r="I79" s="200">
        <v>0</v>
      </c>
      <c r="J79" s="200">
        <v>0</v>
      </c>
      <c r="K79" s="200">
        <v>288.86906400000004</v>
      </c>
      <c r="L79" s="200">
        <v>0</v>
      </c>
      <c r="M79" s="203">
        <f t="shared" si="21"/>
        <v>0</v>
      </c>
      <c r="N79" s="200">
        <v>0</v>
      </c>
      <c r="O79" s="200">
        <v>0</v>
      </c>
      <c r="P79" s="200">
        <v>0</v>
      </c>
      <c r="Q79" s="200">
        <v>0</v>
      </c>
      <c r="R79" s="200">
        <v>0</v>
      </c>
      <c r="S79" s="200">
        <v>0</v>
      </c>
      <c r="T79" s="200">
        <v>0</v>
      </c>
      <c r="U79" s="203">
        <f t="shared" si="22"/>
        <v>0</v>
      </c>
      <c r="V79" s="200">
        <v>0</v>
      </c>
      <c r="W79" s="200">
        <v>0</v>
      </c>
      <c r="X79" s="200">
        <v>0</v>
      </c>
      <c r="Y79" s="200">
        <v>0</v>
      </c>
      <c r="Z79" s="200">
        <v>0</v>
      </c>
      <c r="AA79" s="200">
        <v>0</v>
      </c>
      <c r="AB79" s="200">
        <v>0</v>
      </c>
      <c r="AC79" s="203">
        <f t="shared" si="23"/>
        <v>1818.48902</v>
      </c>
      <c r="AD79" s="200">
        <v>1659.6222719999998</v>
      </c>
      <c r="AE79" s="200">
        <v>12.493271999999999</v>
      </c>
      <c r="AF79" s="200">
        <v>0</v>
      </c>
      <c r="AG79" s="200">
        <v>146.37348</v>
      </c>
      <c r="AH79" s="203">
        <f t="shared" si="24"/>
        <v>190.91556</v>
      </c>
      <c r="AI79" s="200">
        <v>174.43694400000001</v>
      </c>
      <c r="AJ79" s="200">
        <v>0</v>
      </c>
      <c r="AK79" s="200">
        <v>0</v>
      </c>
      <c r="AL79" s="200">
        <v>16.478616000000002</v>
      </c>
      <c r="AM79" s="200">
        <v>0</v>
      </c>
      <c r="AN79" s="200">
        <v>335375.7987168</v>
      </c>
      <c r="AO79" s="200">
        <v>0</v>
      </c>
      <c r="AP79" s="200">
        <v>0</v>
      </c>
      <c r="AQ79" s="200">
        <v>0</v>
      </c>
      <c r="AR79" s="203">
        <f t="shared" si="25"/>
        <v>337674.07235999999</v>
      </c>
      <c r="AS79" s="203">
        <f t="shared" si="26"/>
        <v>12816.90538</v>
      </c>
      <c r="AT79" s="200">
        <v>244.42466400000001</v>
      </c>
      <c r="AU79" s="200">
        <v>0</v>
      </c>
      <c r="AV79" s="200">
        <v>0</v>
      </c>
      <c r="AW79" s="200">
        <v>0</v>
      </c>
      <c r="AX79" s="200">
        <v>12572.480712</v>
      </c>
      <c r="AY79" s="200">
        <v>0</v>
      </c>
      <c r="AZ79" s="203">
        <f t="shared" si="27"/>
        <v>3353757.9871700001</v>
      </c>
      <c r="BA79" s="200">
        <v>1542693.72236</v>
      </c>
      <c r="BB79" s="200">
        <v>1235903.524152</v>
      </c>
      <c r="BC79" s="200">
        <v>0</v>
      </c>
      <c r="BD79" s="200">
        <v>113286.90612</v>
      </c>
      <c r="BE79" s="200">
        <v>0</v>
      </c>
      <c r="BF79" s="200">
        <v>461873.83453599998</v>
      </c>
      <c r="BG79" s="200">
        <v>0</v>
      </c>
      <c r="BH79" s="200">
        <v>0</v>
      </c>
      <c r="BI79" s="200">
        <v>0</v>
      </c>
      <c r="BJ79" s="203">
        <f t="shared" si="28"/>
        <v>3366574.89255</v>
      </c>
      <c r="BK79" s="203">
        <f t="shared" si="29"/>
        <v>-3028900.8201899999</v>
      </c>
      <c r="BL79" s="203">
        <f>$BO$9+SUMPRODUCT($D$10:D79,$BK$10:BK79)</f>
        <v>8152001.8307840824</v>
      </c>
      <c r="BM79" s="202">
        <f t="shared" si="30"/>
        <v>5.85</v>
      </c>
      <c r="BN79" s="203">
        <f t="shared" si="33"/>
        <v>24116316.266120002</v>
      </c>
      <c r="BO79" s="204">
        <f t="shared" si="31"/>
        <v>433332137.94370002</v>
      </c>
      <c r="BP79" s="201">
        <f t="shared" si="34"/>
        <v>64701.455742603117</v>
      </c>
      <c r="BQ79" s="201">
        <f t="shared" si="35"/>
        <v>4496751.1741109164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165">
        <f t="shared" si="32"/>
        <v>71</v>
      </c>
      <c r="B80" s="166">
        <f t="shared" si="32"/>
        <v>2090</v>
      </c>
      <c r="C80" s="29">
        <v>5.85</v>
      </c>
      <c r="D80" s="164">
        <f t="shared" si="36"/>
        <v>1.7670000000000002E-2</v>
      </c>
      <c r="E80" s="200">
        <v>0</v>
      </c>
      <c r="F80" s="203">
        <f t="shared" si="18"/>
        <v>0</v>
      </c>
      <c r="G80" s="200">
        <v>0</v>
      </c>
      <c r="H80" s="200">
        <v>0</v>
      </c>
      <c r="I80" s="200">
        <v>0</v>
      </c>
      <c r="J80" s="200">
        <v>0</v>
      </c>
      <c r="K80" s="200">
        <v>202.43203200000002</v>
      </c>
      <c r="L80" s="200">
        <v>0</v>
      </c>
      <c r="M80" s="203">
        <f t="shared" si="21"/>
        <v>0</v>
      </c>
      <c r="N80" s="200">
        <v>0</v>
      </c>
      <c r="O80" s="200">
        <v>0</v>
      </c>
      <c r="P80" s="200">
        <v>0</v>
      </c>
      <c r="Q80" s="200">
        <v>0</v>
      </c>
      <c r="R80" s="200">
        <v>0</v>
      </c>
      <c r="S80" s="200">
        <v>0</v>
      </c>
      <c r="T80" s="200">
        <v>0</v>
      </c>
      <c r="U80" s="203">
        <f t="shared" si="22"/>
        <v>0</v>
      </c>
      <c r="V80" s="200">
        <v>0</v>
      </c>
      <c r="W80" s="200">
        <v>0</v>
      </c>
      <c r="X80" s="200">
        <v>0</v>
      </c>
      <c r="Y80" s="200">
        <v>0</v>
      </c>
      <c r="Z80" s="200">
        <v>0</v>
      </c>
      <c r="AA80" s="200">
        <v>0</v>
      </c>
      <c r="AB80" s="200">
        <v>0</v>
      </c>
      <c r="AC80" s="203">
        <f t="shared" si="23"/>
        <v>1019.9061799999999</v>
      </c>
      <c r="AD80" s="200">
        <v>933.05889600000012</v>
      </c>
      <c r="AE80" s="200">
        <v>4.8449280000000003</v>
      </c>
      <c r="AF80" s="200">
        <v>0</v>
      </c>
      <c r="AG80" s="200">
        <v>82.002359999999996</v>
      </c>
      <c r="AH80" s="203">
        <f t="shared" si="24"/>
        <v>101.47975</v>
      </c>
      <c r="AI80" s="200">
        <v>93.137879999999996</v>
      </c>
      <c r="AJ80" s="200">
        <v>0</v>
      </c>
      <c r="AK80" s="200">
        <v>0</v>
      </c>
      <c r="AL80" s="200">
        <v>8.3418719999999986</v>
      </c>
      <c r="AM80" s="200">
        <v>0</v>
      </c>
      <c r="AN80" s="200">
        <v>241439.29302000004</v>
      </c>
      <c r="AO80" s="200">
        <v>0</v>
      </c>
      <c r="AP80" s="200">
        <v>0</v>
      </c>
      <c r="AQ80" s="200">
        <v>0</v>
      </c>
      <c r="AR80" s="203">
        <f t="shared" si="25"/>
        <v>242763.11098</v>
      </c>
      <c r="AS80" s="203">
        <f t="shared" si="26"/>
        <v>9061.9494200000008</v>
      </c>
      <c r="AT80" s="200">
        <v>87.951071999999996</v>
      </c>
      <c r="AU80" s="200">
        <v>0</v>
      </c>
      <c r="AV80" s="200">
        <v>0</v>
      </c>
      <c r="AW80" s="200">
        <v>0</v>
      </c>
      <c r="AX80" s="200">
        <v>8973.9983519999987</v>
      </c>
      <c r="AY80" s="200">
        <v>0</v>
      </c>
      <c r="AZ80" s="203">
        <f t="shared" si="27"/>
        <v>2414392.9301999998</v>
      </c>
      <c r="BA80" s="200">
        <v>1112883.1659040002</v>
      </c>
      <c r="BB80" s="200">
        <v>894433.64963200002</v>
      </c>
      <c r="BC80" s="200">
        <v>0</v>
      </c>
      <c r="BD80" s="200">
        <v>81125.918423999989</v>
      </c>
      <c r="BE80" s="200">
        <v>0</v>
      </c>
      <c r="BF80" s="200">
        <v>325950.19624000002</v>
      </c>
      <c r="BG80" s="200">
        <v>0</v>
      </c>
      <c r="BH80" s="200">
        <v>0</v>
      </c>
      <c r="BI80" s="200">
        <v>0</v>
      </c>
      <c r="BJ80" s="203">
        <f t="shared" si="28"/>
        <v>2423454.8796199998</v>
      </c>
      <c r="BK80" s="203">
        <f t="shared" si="29"/>
        <v>-2180691.7686399999</v>
      </c>
      <c r="BL80" s="203">
        <f>$BO$9+SUMPRODUCT($D$10:D80,$BK$10:BK80)</f>
        <v>8113469.0072321892</v>
      </c>
      <c r="BM80" s="202">
        <f t="shared" si="30"/>
        <v>5.85</v>
      </c>
      <c r="BN80" s="203">
        <f t="shared" si="33"/>
        <v>25349930.069710001</v>
      </c>
      <c r="BO80" s="204">
        <f t="shared" si="31"/>
        <v>456501376.24476999</v>
      </c>
      <c r="BP80" s="201">
        <f t="shared" si="34"/>
        <v>44007.645969537523</v>
      </c>
      <c r="BQ80" s="201">
        <f t="shared" si="35"/>
        <v>3102539.0408523954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>
      <c r="A81" s="165">
        <f t="shared" si="32"/>
        <v>72</v>
      </c>
      <c r="B81" s="166">
        <f t="shared" si="32"/>
        <v>2091</v>
      </c>
      <c r="C81" s="29">
        <v>5.85</v>
      </c>
      <c r="D81" s="164">
        <f t="shared" si="36"/>
        <v>1.669E-2</v>
      </c>
      <c r="E81" s="200">
        <v>0</v>
      </c>
      <c r="F81" s="203">
        <f t="shared" si="18"/>
        <v>0</v>
      </c>
      <c r="G81" s="200">
        <v>0</v>
      </c>
      <c r="H81" s="200">
        <v>0</v>
      </c>
      <c r="I81" s="200">
        <v>0</v>
      </c>
      <c r="J81" s="200">
        <v>0</v>
      </c>
      <c r="K81" s="200">
        <v>132.57129599999999</v>
      </c>
      <c r="L81" s="200">
        <v>0</v>
      </c>
      <c r="M81" s="203">
        <f t="shared" si="21"/>
        <v>0</v>
      </c>
      <c r="N81" s="200">
        <v>0</v>
      </c>
      <c r="O81" s="200">
        <v>0</v>
      </c>
      <c r="P81" s="200">
        <v>0</v>
      </c>
      <c r="Q81" s="200">
        <v>0</v>
      </c>
      <c r="R81" s="200">
        <v>0</v>
      </c>
      <c r="S81" s="200">
        <v>0</v>
      </c>
      <c r="T81" s="200">
        <v>0</v>
      </c>
      <c r="U81" s="203">
        <f t="shared" si="22"/>
        <v>0</v>
      </c>
      <c r="V81" s="200">
        <v>0</v>
      </c>
      <c r="W81" s="200">
        <v>0</v>
      </c>
      <c r="X81" s="200">
        <v>0</v>
      </c>
      <c r="Y81" s="200">
        <v>0</v>
      </c>
      <c r="Z81" s="200">
        <v>0</v>
      </c>
      <c r="AA81" s="200">
        <v>0</v>
      </c>
      <c r="AB81" s="200">
        <v>0</v>
      </c>
      <c r="AC81" s="203">
        <f t="shared" si="23"/>
        <v>522.07029999999997</v>
      </c>
      <c r="AD81" s="200">
        <v>479.25715200000002</v>
      </c>
      <c r="AE81" s="200">
        <v>1.2210000000000001</v>
      </c>
      <c r="AF81" s="200">
        <v>0</v>
      </c>
      <c r="AG81" s="200">
        <v>41.592143999999998</v>
      </c>
      <c r="AH81" s="203">
        <f t="shared" si="24"/>
        <v>46.378459999999997</v>
      </c>
      <c r="AI81" s="200">
        <v>42.793607999999999</v>
      </c>
      <c r="AJ81" s="200">
        <v>0</v>
      </c>
      <c r="AK81" s="200">
        <v>0</v>
      </c>
      <c r="AL81" s="200">
        <v>3.5848559999999998</v>
      </c>
      <c r="AM81" s="200">
        <v>0</v>
      </c>
      <c r="AN81" s="200">
        <v>170058.2951976</v>
      </c>
      <c r="AO81" s="200">
        <v>0</v>
      </c>
      <c r="AP81" s="200">
        <v>0</v>
      </c>
      <c r="AQ81" s="200">
        <v>0</v>
      </c>
      <c r="AR81" s="203">
        <f t="shared" si="25"/>
        <v>170759.31525000001</v>
      </c>
      <c r="AS81" s="203">
        <f t="shared" si="26"/>
        <v>6299.6469399999996</v>
      </c>
      <c r="AT81" s="200">
        <v>20.717927999999997</v>
      </c>
      <c r="AU81" s="200">
        <v>0</v>
      </c>
      <c r="AV81" s="200">
        <v>0</v>
      </c>
      <c r="AW81" s="200">
        <v>0</v>
      </c>
      <c r="AX81" s="200">
        <v>6278.9290080000001</v>
      </c>
      <c r="AY81" s="200">
        <v>0</v>
      </c>
      <c r="AZ81" s="203">
        <f t="shared" si="27"/>
        <v>1700582.9519799999</v>
      </c>
      <c r="BA81" s="200">
        <v>787867.455816</v>
      </c>
      <c r="BB81" s="200">
        <v>631511.39267999993</v>
      </c>
      <c r="BC81" s="200">
        <v>0</v>
      </c>
      <c r="BD81" s="200">
        <v>56937.471575999996</v>
      </c>
      <c r="BE81" s="200">
        <v>0</v>
      </c>
      <c r="BF81" s="200">
        <v>224266.63190399998</v>
      </c>
      <c r="BG81" s="200">
        <v>0</v>
      </c>
      <c r="BH81" s="200">
        <v>0</v>
      </c>
      <c r="BI81" s="200">
        <v>0</v>
      </c>
      <c r="BJ81" s="203">
        <f t="shared" si="28"/>
        <v>1706882.59892</v>
      </c>
      <c r="BK81" s="203">
        <f t="shared" si="29"/>
        <v>-1536123.28367</v>
      </c>
      <c r="BL81" s="203">
        <f>$BO$9+SUMPRODUCT($D$10:D81,$BK$10:BK81)</f>
        <v>8087831.1096277237</v>
      </c>
      <c r="BM81" s="202">
        <f t="shared" si="30"/>
        <v>5.85</v>
      </c>
      <c r="BN81" s="203">
        <f t="shared" si="33"/>
        <v>26705330.51032</v>
      </c>
      <c r="BO81" s="204">
        <f t="shared" si="31"/>
        <v>481670583.47141999</v>
      </c>
      <c r="BP81" s="201">
        <f t="shared" si="34"/>
        <v>29286.153469961377</v>
      </c>
      <c r="BQ81" s="201">
        <f t="shared" si="35"/>
        <v>2093959.9731022385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>
      <c r="A82" s="165">
        <f t="shared" si="32"/>
        <v>73</v>
      </c>
      <c r="B82" s="166">
        <f t="shared" si="32"/>
        <v>2092</v>
      </c>
      <c r="C82" s="29">
        <v>5.85</v>
      </c>
      <c r="D82" s="164">
        <f t="shared" si="36"/>
        <v>1.5769999999999999E-2</v>
      </c>
      <c r="E82" s="200">
        <v>0</v>
      </c>
      <c r="F82" s="203">
        <f t="shared" si="18"/>
        <v>0</v>
      </c>
      <c r="G82" s="200">
        <v>0</v>
      </c>
      <c r="H82" s="200">
        <v>0</v>
      </c>
      <c r="I82" s="200">
        <v>0</v>
      </c>
      <c r="J82" s="200">
        <v>0</v>
      </c>
      <c r="K82" s="200">
        <v>78.954744000000005</v>
      </c>
      <c r="L82" s="200">
        <v>0</v>
      </c>
      <c r="M82" s="203">
        <f t="shared" si="21"/>
        <v>0</v>
      </c>
      <c r="N82" s="200">
        <v>0</v>
      </c>
      <c r="O82" s="200">
        <v>0</v>
      </c>
      <c r="P82" s="200">
        <v>0</v>
      </c>
      <c r="Q82" s="200">
        <v>0</v>
      </c>
      <c r="R82" s="200">
        <v>0</v>
      </c>
      <c r="S82" s="200">
        <v>0</v>
      </c>
      <c r="T82" s="200">
        <v>0</v>
      </c>
      <c r="U82" s="203">
        <f t="shared" si="22"/>
        <v>0</v>
      </c>
      <c r="V82" s="200">
        <v>0</v>
      </c>
      <c r="W82" s="200">
        <v>0</v>
      </c>
      <c r="X82" s="200">
        <v>0</v>
      </c>
      <c r="Y82" s="200">
        <v>0</v>
      </c>
      <c r="Z82" s="200">
        <v>0</v>
      </c>
      <c r="AA82" s="200">
        <v>0</v>
      </c>
      <c r="AB82" s="200">
        <v>0</v>
      </c>
      <c r="AC82" s="203">
        <f t="shared" si="23"/>
        <v>229.85081</v>
      </c>
      <c r="AD82" s="200">
        <v>211.740936</v>
      </c>
      <c r="AE82" s="200">
        <v>0.12698400000000001</v>
      </c>
      <c r="AF82" s="200">
        <v>0</v>
      </c>
      <c r="AG82" s="200">
        <v>17.982887999999999</v>
      </c>
      <c r="AH82" s="203">
        <f t="shared" si="24"/>
        <v>16.888870000000001</v>
      </c>
      <c r="AI82" s="200">
        <v>15.687408</v>
      </c>
      <c r="AJ82" s="200">
        <v>0</v>
      </c>
      <c r="AK82" s="200">
        <v>0</v>
      </c>
      <c r="AL82" s="200">
        <v>1.2014640000000001</v>
      </c>
      <c r="AM82" s="200">
        <v>0</v>
      </c>
      <c r="AN82" s="200">
        <v>116834.66023600003</v>
      </c>
      <c r="AO82" s="200">
        <v>0</v>
      </c>
      <c r="AP82" s="200">
        <v>0</v>
      </c>
      <c r="AQ82" s="200">
        <v>0</v>
      </c>
      <c r="AR82" s="203">
        <f t="shared" si="25"/>
        <v>117160.35466</v>
      </c>
      <c r="AS82" s="203">
        <f t="shared" si="26"/>
        <v>4301.0359900000003</v>
      </c>
      <c r="AT82" s="200">
        <v>2.061048</v>
      </c>
      <c r="AU82" s="200">
        <v>0</v>
      </c>
      <c r="AV82" s="200">
        <v>0</v>
      </c>
      <c r="AW82" s="200">
        <v>0</v>
      </c>
      <c r="AX82" s="200">
        <v>4298.9749439999996</v>
      </c>
      <c r="AY82" s="200">
        <v>0</v>
      </c>
      <c r="AZ82" s="203">
        <f t="shared" si="27"/>
        <v>1168346.6023599999</v>
      </c>
      <c r="BA82" s="200">
        <v>545802.40110400005</v>
      </c>
      <c r="BB82" s="200">
        <v>433519.02637600002</v>
      </c>
      <c r="BC82" s="200">
        <v>0</v>
      </c>
      <c r="BD82" s="200">
        <v>39058.158536000003</v>
      </c>
      <c r="BE82" s="200">
        <v>0</v>
      </c>
      <c r="BF82" s="200">
        <v>149967.016344</v>
      </c>
      <c r="BG82" s="200">
        <v>0</v>
      </c>
      <c r="BH82" s="200">
        <v>0</v>
      </c>
      <c r="BI82" s="200">
        <v>0</v>
      </c>
      <c r="BJ82" s="203">
        <f t="shared" si="28"/>
        <v>1172647.6383499999</v>
      </c>
      <c r="BK82" s="203">
        <f t="shared" si="29"/>
        <v>-1055487.28369</v>
      </c>
      <c r="BL82" s="203">
        <f>$BO$9+SUMPRODUCT($D$10:D82,$BK$10:BK82)</f>
        <v>8071186.0751638412</v>
      </c>
      <c r="BM82" s="202">
        <f t="shared" si="30"/>
        <v>5.85</v>
      </c>
      <c r="BN82" s="203">
        <f t="shared" si="33"/>
        <v>28177729.133079998</v>
      </c>
      <c r="BO82" s="204">
        <f t="shared" si="31"/>
        <v>508792825.32081002</v>
      </c>
      <c r="BP82" s="201">
        <f t="shared" si="34"/>
        <v>19010.284741155639</v>
      </c>
      <c r="BQ82" s="201">
        <f t="shared" si="35"/>
        <v>1378245.6437337839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>
      <c r="A83" s="165">
        <f t="shared" si="32"/>
        <v>74</v>
      </c>
      <c r="B83" s="166">
        <f t="shared" si="32"/>
        <v>2093</v>
      </c>
      <c r="C83" s="29">
        <v>5.85</v>
      </c>
      <c r="D83" s="164">
        <f t="shared" si="36"/>
        <v>1.49E-2</v>
      </c>
      <c r="E83" s="200">
        <v>0</v>
      </c>
      <c r="F83" s="203">
        <f t="shared" si="18"/>
        <v>0</v>
      </c>
      <c r="G83" s="200">
        <v>0</v>
      </c>
      <c r="H83" s="200">
        <v>0</v>
      </c>
      <c r="I83" s="200">
        <v>0</v>
      </c>
      <c r="J83" s="200">
        <v>0</v>
      </c>
      <c r="K83" s="200">
        <v>40.752096000000002</v>
      </c>
      <c r="L83" s="200">
        <v>0</v>
      </c>
      <c r="M83" s="203">
        <f t="shared" si="21"/>
        <v>0</v>
      </c>
      <c r="N83" s="200">
        <v>0</v>
      </c>
      <c r="O83" s="200">
        <v>0</v>
      </c>
      <c r="P83" s="200">
        <v>0</v>
      </c>
      <c r="Q83" s="200">
        <v>0</v>
      </c>
      <c r="R83" s="200">
        <v>0</v>
      </c>
      <c r="S83" s="200">
        <v>0</v>
      </c>
      <c r="T83" s="200">
        <v>0</v>
      </c>
      <c r="U83" s="203">
        <f t="shared" si="22"/>
        <v>0</v>
      </c>
      <c r="V83" s="200">
        <v>0</v>
      </c>
      <c r="W83" s="200">
        <v>0</v>
      </c>
      <c r="X83" s="200">
        <v>0</v>
      </c>
      <c r="Y83" s="200">
        <v>0</v>
      </c>
      <c r="Z83" s="200">
        <v>0</v>
      </c>
      <c r="AA83" s="200">
        <v>0</v>
      </c>
      <c r="AB83" s="200">
        <v>0</v>
      </c>
      <c r="AC83" s="203">
        <f t="shared" si="23"/>
        <v>77.792349999999999</v>
      </c>
      <c r="AD83" s="200">
        <v>71.882711999999998</v>
      </c>
      <c r="AE83" s="200">
        <v>0</v>
      </c>
      <c r="AF83" s="200">
        <v>0</v>
      </c>
      <c r="AG83" s="200">
        <v>5.9096399999999996</v>
      </c>
      <c r="AH83" s="203">
        <f t="shared" si="24"/>
        <v>4.2783800000000003</v>
      </c>
      <c r="AI83" s="200">
        <v>4.00488</v>
      </c>
      <c r="AJ83" s="200">
        <v>0</v>
      </c>
      <c r="AK83" s="200">
        <v>0</v>
      </c>
      <c r="AL83" s="200">
        <v>0.27350400000000002</v>
      </c>
      <c r="AM83" s="200">
        <v>0</v>
      </c>
      <c r="AN83" s="200">
        <v>77999.937252000003</v>
      </c>
      <c r="AO83" s="200">
        <v>0</v>
      </c>
      <c r="AP83" s="200">
        <v>0</v>
      </c>
      <c r="AQ83" s="200">
        <v>0</v>
      </c>
      <c r="AR83" s="203">
        <f t="shared" si="25"/>
        <v>78122.760079999993</v>
      </c>
      <c r="AS83" s="203">
        <f t="shared" si="26"/>
        <v>2881.0227599999998</v>
      </c>
      <c r="AT83" s="200">
        <v>2.9304E-2</v>
      </c>
      <c r="AU83" s="200">
        <v>0</v>
      </c>
      <c r="AV83" s="200">
        <v>0</v>
      </c>
      <c r="AW83" s="200">
        <v>0</v>
      </c>
      <c r="AX83" s="200">
        <v>2880.9934560000002</v>
      </c>
      <c r="AY83" s="200">
        <v>0</v>
      </c>
      <c r="AZ83" s="203">
        <f t="shared" si="27"/>
        <v>779999.37251999998</v>
      </c>
      <c r="BA83" s="200">
        <v>368680.09023999999</v>
      </c>
      <c r="BB83" s="200">
        <v>288309.63181599998</v>
      </c>
      <c r="BC83" s="200">
        <v>0</v>
      </c>
      <c r="BD83" s="200">
        <v>26096.132079999996</v>
      </c>
      <c r="BE83" s="200">
        <v>0</v>
      </c>
      <c r="BF83" s="200">
        <v>96913.518383999995</v>
      </c>
      <c r="BG83" s="200">
        <v>0</v>
      </c>
      <c r="BH83" s="200">
        <v>0</v>
      </c>
      <c r="BI83" s="200">
        <v>0</v>
      </c>
      <c r="BJ83" s="203">
        <f t="shared" si="28"/>
        <v>782880.39528000006</v>
      </c>
      <c r="BK83" s="203">
        <f t="shared" si="29"/>
        <v>-704757.63520000002</v>
      </c>
      <c r="BL83" s="203">
        <f>$BO$9+SUMPRODUCT($D$10:D83,$BK$10:BK83)</f>
        <v>8060685.1863994598</v>
      </c>
      <c r="BM83" s="202">
        <f t="shared" si="30"/>
        <v>5.85</v>
      </c>
      <c r="BN83" s="203">
        <f t="shared" si="33"/>
        <v>29764380.281270001</v>
      </c>
      <c r="BO83" s="204">
        <f t="shared" si="31"/>
        <v>537852447.96687996</v>
      </c>
      <c r="BP83" s="201">
        <f t="shared" si="34"/>
        <v>11991.444571247173</v>
      </c>
      <c r="BQ83" s="201">
        <f t="shared" si="35"/>
        <v>881371.17598666728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>
      <c r="A84" s="165">
        <f t="shared" si="32"/>
        <v>75</v>
      </c>
      <c r="B84" s="166">
        <f t="shared" si="32"/>
        <v>2094</v>
      </c>
      <c r="C84" s="29">
        <v>5.85</v>
      </c>
      <c r="D84" s="164">
        <f t="shared" si="36"/>
        <v>1.4080000000000001E-2</v>
      </c>
      <c r="E84" s="200">
        <v>0</v>
      </c>
      <c r="F84" s="203">
        <f t="shared" si="18"/>
        <v>0</v>
      </c>
      <c r="G84" s="200">
        <v>0</v>
      </c>
      <c r="H84" s="200">
        <v>0</v>
      </c>
      <c r="I84" s="200">
        <v>0</v>
      </c>
      <c r="J84" s="200">
        <v>0</v>
      </c>
      <c r="K84" s="200">
        <v>16.752119999999998</v>
      </c>
      <c r="L84" s="200">
        <v>0</v>
      </c>
      <c r="M84" s="203">
        <f t="shared" si="21"/>
        <v>0</v>
      </c>
      <c r="N84" s="200">
        <v>0</v>
      </c>
      <c r="O84" s="200">
        <v>0</v>
      </c>
      <c r="P84" s="200">
        <v>0</v>
      </c>
      <c r="Q84" s="200">
        <v>0</v>
      </c>
      <c r="R84" s="200">
        <v>0</v>
      </c>
      <c r="S84" s="200">
        <v>0</v>
      </c>
      <c r="T84" s="200">
        <v>0</v>
      </c>
      <c r="U84" s="203">
        <f t="shared" si="22"/>
        <v>0</v>
      </c>
      <c r="V84" s="200">
        <v>0</v>
      </c>
      <c r="W84" s="200">
        <v>0</v>
      </c>
      <c r="X84" s="200">
        <v>0</v>
      </c>
      <c r="Y84" s="200">
        <v>0</v>
      </c>
      <c r="Z84" s="200">
        <v>0</v>
      </c>
      <c r="AA84" s="200">
        <v>0</v>
      </c>
      <c r="AB84" s="200">
        <v>0</v>
      </c>
      <c r="AC84" s="203">
        <f t="shared" si="23"/>
        <v>17.621469999999999</v>
      </c>
      <c r="AD84" s="200">
        <v>16.341863999999998</v>
      </c>
      <c r="AE84" s="200">
        <v>0</v>
      </c>
      <c r="AF84" s="200">
        <v>0</v>
      </c>
      <c r="AG84" s="200">
        <v>1.2796080000000001</v>
      </c>
      <c r="AH84" s="203">
        <f t="shared" si="24"/>
        <v>0.52746999999999999</v>
      </c>
      <c r="AI84" s="200">
        <v>0.498168</v>
      </c>
      <c r="AJ84" s="200">
        <v>0</v>
      </c>
      <c r="AK84" s="200">
        <v>0</v>
      </c>
      <c r="AL84" s="200">
        <v>2.9304E-2</v>
      </c>
      <c r="AM84" s="200">
        <v>0</v>
      </c>
      <c r="AN84" s="200">
        <v>50332.550033600004</v>
      </c>
      <c r="AO84" s="200">
        <v>0</v>
      </c>
      <c r="AP84" s="200">
        <v>0</v>
      </c>
      <c r="AQ84" s="200">
        <v>0</v>
      </c>
      <c r="AR84" s="203">
        <f t="shared" si="25"/>
        <v>50367.451090000002</v>
      </c>
      <c r="AS84" s="203">
        <f t="shared" si="26"/>
        <v>1901.62447</v>
      </c>
      <c r="AT84" s="200">
        <v>0</v>
      </c>
      <c r="AU84" s="200">
        <v>0</v>
      </c>
      <c r="AV84" s="200">
        <v>0</v>
      </c>
      <c r="AW84" s="200">
        <v>0</v>
      </c>
      <c r="AX84" s="200">
        <v>1901.624472</v>
      </c>
      <c r="AY84" s="200">
        <v>0</v>
      </c>
      <c r="AZ84" s="203">
        <f t="shared" si="27"/>
        <v>503325.50034000003</v>
      </c>
      <c r="BA84" s="200">
        <v>241473.27812</v>
      </c>
      <c r="BB84" s="200">
        <v>184940.25912800001</v>
      </c>
      <c r="BC84" s="200">
        <v>0</v>
      </c>
      <c r="BD84" s="200">
        <v>16892.061296</v>
      </c>
      <c r="BE84" s="200">
        <v>0</v>
      </c>
      <c r="BF84" s="200">
        <v>60019.901792000004</v>
      </c>
      <c r="BG84" s="200">
        <v>0</v>
      </c>
      <c r="BH84" s="200">
        <v>0</v>
      </c>
      <c r="BI84" s="200">
        <v>0</v>
      </c>
      <c r="BJ84" s="203">
        <f t="shared" si="28"/>
        <v>505227.12481000001</v>
      </c>
      <c r="BK84" s="203">
        <f t="shared" si="29"/>
        <v>-454859.67372000002</v>
      </c>
      <c r="BL84" s="203">
        <f>$BO$9+SUMPRODUCT($D$10:D84,$BK$10:BK84)</f>
        <v>8054280.7621934414</v>
      </c>
      <c r="BM84" s="202">
        <f t="shared" si="30"/>
        <v>5.85</v>
      </c>
      <c r="BN84" s="203">
        <f t="shared" si="33"/>
        <v>31464368.20606</v>
      </c>
      <c r="BO84" s="204">
        <f t="shared" si="31"/>
        <v>568861956.49922001</v>
      </c>
      <c r="BP84" s="201">
        <f t="shared" si="34"/>
        <v>7311.4213473271557</v>
      </c>
      <c r="BQ84" s="201">
        <f t="shared" si="35"/>
        <v>544700.89037587307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>
      <c r="A85" s="165">
        <f t="shared" si="32"/>
        <v>76</v>
      </c>
      <c r="B85" s="166">
        <f t="shared" si="32"/>
        <v>2095</v>
      </c>
      <c r="C85" s="29">
        <v>5.85</v>
      </c>
      <c r="D85" s="164">
        <f t="shared" si="36"/>
        <v>1.3299999999999999E-2</v>
      </c>
      <c r="E85" s="200">
        <v>0</v>
      </c>
      <c r="F85" s="203">
        <f t="shared" si="18"/>
        <v>0</v>
      </c>
      <c r="G85" s="200">
        <v>0</v>
      </c>
      <c r="H85" s="200">
        <v>0</v>
      </c>
      <c r="I85" s="200">
        <v>0</v>
      </c>
      <c r="J85" s="200">
        <v>0</v>
      </c>
      <c r="K85" s="200">
        <v>4.6007280000000002</v>
      </c>
      <c r="L85" s="200">
        <v>0</v>
      </c>
      <c r="M85" s="203">
        <f t="shared" si="21"/>
        <v>0</v>
      </c>
      <c r="N85" s="200">
        <v>0</v>
      </c>
      <c r="O85" s="200">
        <v>0</v>
      </c>
      <c r="P85" s="200">
        <v>0</v>
      </c>
      <c r="Q85" s="200">
        <v>0</v>
      </c>
      <c r="R85" s="200">
        <v>0</v>
      </c>
      <c r="S85" s="200">
        <v>0</v>
      </c>
      <c r="T85" s="200">
        <v>0</v>
      </c>
      <c r="U85" s="203">
        <f t="shared" si="22"/>
        <v>0</v>
      </c>
      <c r="V85" s="200">
        <v>0</v>
      </c>
      <c r="W85" s="200">
        <v>0</v>
      </c>
      <c r="X85" s="200">
        <v>0</v>
      </c>
      <c r="Y85" s="200">
        <v>0</v>
      </c>
      <c r="Z85" s="200">
        <v>0</v>
      </c>
      <c r="AA85" s="200">
        <v>0</v>
      </c>
      <c r="AB85" s="200">
        <v>0</v>
      </c>
      <c r="AC85" s="203">
        <f t="shared" si="23"/>
        <v>2.3345500000000001</v>
      </c>
      <c r="AD85" s="200">
        <v>2.1684960000000002</v>
      </c>
      <c r="AE85" s="200">
        <v>0</v>
      </c>
      <c r="AF85" s="200">
        <v>0</v>
      </c>
      <c r="AG85" s="200">
        <v>0.16605600000000001</v>
      </c>
      <c r="AH85" s="203">
        <f t="shared" si="24"/>
        <v>1.9539999999999998E-2</v>
      </c>
      <c r="AI85" s="200">
        <v>1.9536000000000001E-2</v>
      </c>
      <c r="AJ85" s="200">
        <v>0</v>
      </c>
      <c r="AK85" s="200">
        <v>0</v>
      </c>
      <c r="AL85" s="200">
        <v>0</v>
      </c>
      <c r="AM85" s="200">
        <v>0</v>
      </c>
      <c r="AN85" s="200">
        <v>31150.647850400001</v>
      </c>
      <c r="AO85" s="200">
        <v>0</v>
      </c>
      <c r="AP85" s="200">
        <v>0</v>
      </c>
      <c r="AQ85" s="200">
        <v>0</v>
      </c>
      <c r="AR85" s="203">
        <f t="shared" si="25"/>
        <v>31157.60267</v>
      </c>
      <c r="AS85" s="203">
        <f t="shared" si="26"/>
        <v>1256.8290199999999</v>
      </c>
      <c r="AT85" s="200">
        <v>0</v>
      </c>
      <c r="AU85" s="200">
        <v>0</v>
      </c>
      <c r="AV85" s="200">
        <v>0</v>
      </c>
      <c r="AW85" s="200">
        <v>0</v>
      </c>
      <c r="AX85" s="200">
        <v>1256.8290240000001</v>
      </c>
      <c r="AY85" s="200">
        <v>0</v>
      </c>
      <c r="AZ85" s="203">
        <f t="shared" si="27"/>
        <v>311506.47850000003</v>
      </c>
      <c r="BA85" s="200">
        <v>151942.62487199999</v>
      </c>
      <c r="BB85" s="200">
        <v>113838.39553600001</v>
      </c>
      <c r="BC85" s="200">
        <v>0</v>
      </c>
      <c r="BD85" s="200">
        <v>10507.211127999999</v>
      </c>
      <c r="BE85" s="200">
        <v>0</v>
      </c>
      <c r="BF85" s="200">
        <v>35218.246967999999</v>
      </c>
      <c r="BG85" s="200">
        <v>0</v>
      </c>
      <c r="BH85" s="200">
        <v>0</v>
      </c>
      <c r="BI85" s="200">
        <v>0</v>
      </c>
      <c r="BJ85" s="203">
        <f t="shared" si="28"/>
        <v>312763.30751999997</v>
      </c>
      <c r="BK85" s="203">
        <f t="shared" si="29"/>
        <v>-281605.70484999998</v>
      </c>
      <c r="BL85" s="203">
        <f>$BO$9+SUMPRODUCT($D$10:D85,$BK$10:BK85)</f>
        <v>8050535.406318903</v>
      </c>
      <c r="BM85" s="202">
        <f t="shared" si="30"/>
        <v>5.85</v>
      </c>
      <c r="BN85" s="203">
        <f t="shared" si="33"/>
        <v>33278424.455200002</v>
      </c>
      <c r="BO85" s="204">
        <f t="shared" si="31"/>
        <v>601858775.24957001</v>
      </c>
      <c r="BP85" s="201">
        <f t="shared" si="34"/>
        <v>4276.1449728548505</v>
      </c>
      <c r="BQ85" s="201">
        <f t="shared" si="35"/>
        <v>322848.94545054121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165">
        <f t="shared" si="32"/>
        <v>77</v>
      </c>
      <c r="B86" s="166">
        <f t="shared" si="32"/>
        <v>2096</v>
      </c>
      <c r="C86" s="29">
        <v>5.85</v>
      </c>
      <c r="D86" s="164">
        <f t="shared" si="36"/>
        <v>1.256E-2</v>
      </c>
      <c r="E86" s="200">
        <v>0</v>
      </c>
      <c r="F86" s="203">
        <f t="shared" si="18"/>
        <v>0</v>
      </c>
      <c r="G86" s="200">
        <v>0</v>
      </c>
      <c r="H86" s="200">
        <v>0</v>
      </c>
      <c r="I86" s="200">
        <v>0</v>
      </c>
      <c r="J86" s="200">
        <v>0</v>
      </c>
      <c r="K86" s="200">
        <v>0.58607999999999993</v>
      </c>
      <c r="L86" s="200">
        <v>0</v>
      </c>
      <c r="M86" s="203">
        <f t="shared" si="21"/>
        <v>0</v>
      </c>
      <c r="N86" s="200">
        <v>0</v>
      </c>
      <c r="O86" s="200">
        <v>0</v>
      </c>
      <c r="P86" s="200">
        <v>0</v>
      </c>
      <c r="Q86" s="200">
        <v>0</v>
      </c>
      <c r="R86" s="200">
        <v>0</v>
      </c>
      <c r="S86" s="200">
        <v>0</v>
      </c>
      <c r="T86" s="200">
        <v>0</v>
      </c>
      <c r="U86" s="203">
        <f t="shared" si="22"/>
        <v>0</v>
      </c>
      <c r="V86" s="200">
        <v>0</v>
      </c>
      <c r="W86" s="200">
        <v>0</v>
      </c>
      <c r="X86" s="200">
        <v>0</v>
      </c>
      <c r="Y86" s="200">
        <v>0</v>
      </c>
      <c r="Z86" s="200">
        <v>0</v>
      </c>
      <c r="AA86" s="200">
        <v>0</v>
      </c>
      <c r="AB86" s="200">
        <v>0</v>
      </c>
      <c r="AC86" s="203">
        <f t="shared" si="23"/>
        <v>0.14652000000000001</v>
      </c>
      <c r="AD86" s="200">
        <v>0.13675200000000001</v>
      </c>
      <c r="AE86" s="200">
        <v>0</v>
      </c>
      <c r="AF86" s="200">
        <v>0</v>
      </c>
      <c r="AG86" s="200">
        <v>9.7680000000000006E-3</v>
      </c>
      <c r="AH86" s="203">
        <f t="shared" si="24"/>
        <v>0</v>
      </c>
      <c r="AI86" s="200">
        <v>0</v>
      </c>
      <c r="AJ86" s="200">
        <v>0</v>
      </c>
      <c r="AK86" s="200">
        <v>0</v>
      </c>
      <c r="AL86" s="200">
        <v>0</v>
      </c>
      <c r="AM86" s="200">
        <v>0</v>
      </c>
      <c r="AN86" s="200">
        <v>18300.410119999997</v>
      </c>
      <c r="AO86" s="200">
        <v>0</v>
      </c>
      <c r="AP86" s="200">
        <v>0</v>
      </c>
      <c r="AQ86" s="200">
        <v>0</v>
      </c>
      <c r="AR86" s="203">
        <f t="shared" si="25"/>
        <v>18301.14272</v>
      </c>
      <c r="AS86" s="203">
        <f t="shared" si="26"/>
        <v>850.5779</v>
      </c>
      <c r="AT86" s="200">
        <v>0</v>
      </c>
      <c r="AU86" s="200">
        <v>0</v>
      </c>
      <c r="AV86" s="200">
        <v>0</v>
      </c>
      <c r="AW86" s="200">
        <v>0</v>
      </c>
      <c r="AX86" s="200">
        <v>850.57790399999999</v>
      </c>
      <c r="AY86" s="200">
        <v>0</v>
      </c>
      <c r="AZ86" s="203">
        <f t="shared" si="27"/>
        <v>183004.1012</v>
      </c>
      <c r="BA86" s="200">
        <v>90652.187167999989</v>
      </c>
      <c r="BB86" s="200">
        <v>66843.879351999989</v>
      </c>
      <c r="BC86" s="200">
        <v>0</v>
      </c>
      <c r="BD86" s="200">
        <v>6211.423992</v>
      </c>
      <c r="BE86" s="200">
        <v>0</v>
      </c>
      <c r="BF86" s="200">
        <v>19296.610688000001</v>
      </c>
      <c r="BG86" s="200">
        <v>0</v>
      </c>
      <c r="BH86" s="200">
        <v>0</v>
      </c>
      <c r="BI86" s="200">
        <v>0</v>
      </c>
      <c r="BJ86" s="203">
        <f t="shared" si="28"/>
        <v>183854.67910000001</v>
      </c>
      <c r="BK86" s="203">
        <f t="shared" si="29"/>
        <v>-165553.53638000001</v>
      </c>
      <c r="BL86" s="203">
        <f>$BO$9+SUMPRODUCT($D$10:D86,$BK$10:BK86)</f>
        <v>8048456.0539019108</v>
      </c>
      <c r="BM86" s="202">
        <f t="shared" si="30"/>
        <v>5.85</v>
      </c>
      <c r="BN86" s="203">
        <f t="shared" si="33"/>
        <v>35208738.3521</v>
      </c>
      <c r="BO86" s="204">
        <f t="shared" si="31"/>
        <v>636901960.06528997</v>
      </c>
      <c r="BP86" s="201">
        <f t="shared" si="34"/>
        <v>2374.7799350817854</v>
      </c>
      <c r="BQ86" s="201">
        <f t="shared" si="35"/>
        <v>181670.66503375658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165">
        <f t="shared" si="32"/>
        <v>78</v>
      </c>
      <c r="B87" s="166">
        <f t="shared" si="32"/>
        <v>2097</v>
      </c>
      <c r="C87" s="29">
        <v>5.85</v>
      </c>
      <c r="D87" s="164">
        <f t="shared" si="36"/>
        <v>1.187E-2</v>
      </c>
      <c r="E87" s="200">
        <v>0</v>
      </c>
      <c r="F87" s="203">
        <f t="shared" si="18"/>
        <v>0</v>
      </c>
      <c r="G87" s="200">
        <v>0</v>
      </c>
      <c r="H87" s="200">
        <v>0</v>
      </c>
      <c r="I87" s="200">
        <v>0</v>
      </c>
      <c r="J87" s="200">
        <v>0</v>
      </c>
      <c r="K87" s="200">
        <v>0</v>
      </c>
      <c r="L87" s="200">
        <v>0</v>
      </c>
      <c r="M87" s="203">
        <f t="shared" si="21"/>
        <v>0</v>
      </c>
      <c r="N87" s="200">
        <v>0</v>
      </c>
      <c r="O87" s="200">
        <v>0</v>
      </c>
      <c r="P87" s="200">
        <v>0</v>
      </c>
      <c r="Q87" s="200">
        <v>0</v>
      </c>
      <c r="R87" s="200">
        <v>0</v>
      </c>
      <c r="S87" s="200">
        <v>0</v>
      </c>
      <c r="T87" s="200">
        <v>0</v>
      </c>
      <c r="U87" s="203">
        <f t="shared" si="22"/>
        <v>0</v>
      </c>
      <c r="V87" s="200">
        <v>0</v>
      </c>
      <c r="W87" s="200">
        <v>0</v>
      </c>
      <c r="X87" s="200">
        <v>0</v>
      </c>
      <c r="Y87" s="200">
        <v>0</v>
      </c>
      <c r="Z87" s="200">
        <v>0</v>
      </c>
      <c r="AA87" s="200">
        <v>0</v>
      </c>
      <c r="AB87" s="200">
        <v>0</v>
      </c>
      <c r="AC87" s="203">
        <f t="shared" si="23"/>
        <v>0</v>
      </c>
      <c r="AD87" s="200">
        <v>0</v>
      </c>
      <c r="AE87" s="200">
        <v>0</v>
      </c>
      <c r="AF87" s="200">
        <v>0</v>
      </c>
      <c r="AG87" s="200">
        <v>0</v>
      </c>
      <c r="AH87" s="203">
        <f t="shared" si="24"/>
        <v>0</v>
      </c>
      <c r="AI87" s="200">
        <v>0</v>
      </c>
      <c r="AJ87" s="200">
        <v>0</v>
      </c>
      <c r="AK87" s="200">
        <v>0</v>
      </c>
      <c r="AL87" s="200">
        <v>0</v>
      </c>
      <c r="AM87" s="200">
        <v>0</v>
      </c>
      <c r="AN87" s="200">
        <v>10060.949014400001</v>
      </c>
      <c r="AO87" s="200">
        <v>0</v>
      </c>
      <c r="AP87" s="200">
        <v>0</v>
      </c>
      <c r="AQ87" s="200">
        <v>0</v>
      </c>
      <c r="AR87" s="203">
        <f t="shared" si="25"/>
        <v>10060.94901</v>
      </c>
      <c r="AS87" s="203">
        <f t="shared" si="26"/>
        <v>587.62333999999998</v>
      </c>
      <c r="AT87" s="200">
        <v>0</v>
      </c>
      <c r="AU87" s="200">
        <v>0</v>
      </c>
      <c r="AV87" s="200">
        <v>0</v>
      </c>
      <c r="AW87" s="200">
        <v>0</v>
      </c>
      <c r="AX87" s="200">
        <v>587.62334400000009</v>
      </c>
      <c r="AY87" s="200">
        <v>0</v>
      </c>
      <c r="AZ87" s="203">
        <f t="shared" si="27"/>
        <v>100609.49013999999</v>
      </c>
      <c r="BA87" s="200">
        <v>50424.254344000001</v>
      </c>
      <c r="BB87" s="200">
        <v>37132.723096000002</v>
      </c>
      <c r="BC87" s="200">
        <v>0</v>
      </c>
      <c r="BD87" s="200">
        <v>3440.2888640000001</v>
      </c>
      <c r="BE87" s="200">
        <v>0</v>
      </c>
      <c r="BF87" s="200">
        <v>9612.2238399999987</v>
      </c>
      <c r="BG87" s="200">
        <v>0</v>
      </c>
      <c r="BH87" s="200">
        <v>0</v>
      </c>
      <c r="BI87" s="200">
        <v>0</v>
      </c>
      <c r="BJ87" s="203">
        <f t="shared" si="28"/>
        <v>101197.11348</v>
      </c>
      <c r="BK87" s="203">
        <f t="shared" si="29"/>
        <v>-91136.164470000003</v>
      </c>
      <c r="BL87" s="203">
        <f>$BO$9+SUMPRODUCT($D$10:D87,$BK$10:BK87)</f>
        <v>8047374.2676296234</v>
      </c>
      <c r="BM87" s="202">
        <f t="shared" si="30"/>
        <v>5.85</v>
      </c>
      <c r="BN87" s="203">
        <f t="shared" si="33"/>
        <v>37258764.663819999</v>
      </c>
      <c r="BO87" s="204">
        <f t="shared" si="31"/>
        <v>674069588.56464005</v>
      </c>
      <c r="BP87" s="201">
        <f t="shared" si="34"/>
        <v>1234.8843661900933</v>
      </c>
      <c r="BQ87" s="201">
        <f t="shared" si="35"/>
        <v>95703.538379732228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>
      <c r="A88" s="165">
        <f t="shared" si="32"/>
        <v>79</v>
      </c>
      <c r="B88" s="166">
        <f t="shared" si="32"/>
        <v>2098</v>
      </c>
      <c r="C88" s="29">
        <v>5.85</v>
      </c>
      <c r="D88" s="164">
        <f t="shared" si="36"/>
        <v>1.1209999999999999E-2</v>
      </c>
      <c r="E88" s="200">
        <v>0</v>
      </c>
      <c r="F88" s="203">
        <f t="shared" si="18"/>
        <v>0</v>
      </c>
      <c r="G88" s="200">
        <v>0</v>
      </c>
      <c r="H88" s="200">
        <v>0</v>
      </c>
      <c r="I88" s="200">
        <v>0</v>
      </c>
      <c r="J88" s="200">
        <v>0</v>
      </c>
      <c r="K88" s="200">
        <v>0</v>
      </c>
      <c r="L88" s="200">
        <v>0</v>
      </c>
      <c r="M88" s="203">
        <f t="shared" si="21"/>
        <v>0</v>
      </c>
      <c r="N88" s="200">
        <v>0</v>
      </c>
      <c r="O88" s="200">
        <v>0</v>
      </c>
      <c r="P88" s="200">
        <v>0</v>
      </c>
      <c r="Q88" s="200">
        <v>0</v>
      </c>
      <c r="R88" s="200">
        <v>0</v>
      </c>
      <c r="S88" s="200">
        <v>0</v>
      </c>
      <c r="T88" s="200">
        <v>0</v>
      </c>
      <c r="U88" s="203">
        <f t="shared" si="22"/>
        <v>0</v>
      </c>
      <c r="V88" s="200">
        <v>0</v>
      </c>
      <c r="W88" s="200">
        <v>0</v>
      </c>
      <c r="X88" s="200">
        <v>0</v>
      </c>
      <c r="Y88" s="200">
        <v>0</v>
      </c>
      <c r="Z88" s="200">
        <v>0</v>
      </c>
      <c r="AA88" s="200">
        <v>0</v>
      </c>
      <c r="AB88" s="200">
        <v>0</v>
      </c>
      <c r="AC88" s="203">
        <f t="shared" si="23"/>
        <v>0</v>
      </c>
      <c r="AD88" s="200">
        <v>0</v>
      </c>
      <c r="AE88" s="200">
        <v>0</v>
      </c>
      <c r="AF88" s="200">
        <v>0</v>
      </c>
      <c r="AG88" s="200">
        <v>0</v>
      </c>
      <c r="AH88" s="203">
        <f t="shared" si="24"/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5077.0530864000002</v>
      </c>
      <c r="AO88" s="200">
        <v>0</v>
      </c>
      <c r="AP88" s="200">
        <v>0</v>
      </c>
      <c r="AQ88" s="200">
        <v>0</v>
      </c>
      <c r="AR88" s="203">
        <f t="shared" si="25"/>
        <v>5077.0530900000003</v>
      </c>
      <c r="AS88" s="203">
        <f t="shared" si="26"/>
        <v>400.22426000000002</v>
      </c>
      <c r="AT88" s="200">
        <v>0</v>
      </c>
      <c r="AU88" s="200">
        <v>0</v>
      </c>
      <c r="AV88" s="200">
        <v>0</v>
      </c>
      <c r="AW88" s="200">
        <v>0</v>
      </c>
      <c r="AX88" s="200">
        <v>400.22426400000001</v>
      </c>
      <c r="AY88" s="200">
        <v>0</v>
      </c>
      <c r="AZ88" s="203">
        <f t="shared" si="27"/>
        <v>50770.530859999999</v>
      </c>
      <c r="BA88" s="200">
        <v>25570.003175999998</v>
      </c>
      <c r="BB88" s="200">
        <v>19249.999408</v>
      </c>
      <c r="BC88" s="200">
        <v>0</v>
      </c>
      <c r="BD88" s="200">
        <v>1750.1530799999998</v>
      </c>
      <c r="BE88" s="200">
        <v>0</v>
      </c>
      <c r="BF88" s="200">
        <v>4200.3751999999995</v>
      </c>
      <c r="BG88" s="200">
        <v>0</v>
      </c>
      <c r="BH88" s="200">
        <v>0</v>
      </c>
      <c r="BI88" s="200">
        <v>0</v>
      </c>
      <c r="BJ88" s="203">
        <f t="shared" si="28"/>
        <v>51170.755120000002</v>
      </c>
      <c r="BK88" s="203">
        <f t="shared" si="29"/>
        <v>-46093.70203</v>
      </c>
      <c r="BL88" s="203">
        <f>$BO$9+SUMPRODUCT($D$10:D88,$BK$10:BK88)</f>
        <v>8046857.5572297573</v>
      </c>
      <c r="BM88" s="202">
        <f t="shared" si="30"/>
        <v>5.85</v>
      </c>
      <c r="BN88" s="203">
        <f t="shared" si="33"/>
        <v>39433070.931029998</v>
      </c>
      <c r="BO88" s="204">
        <f t="shared" si="31"/>
        <v>713456565.79364002</v>
      </c>
      <c r="BP88" s="201">
        <f t="shared" si="34"/>
        <v>589.91458117031448</v>
      </c>
      <c r="BQ88" s="201">
        <f t="shared" si="35"/>
        <v>46308.294621869689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>
      <c r="A89" s="165">
        <f t="shared" si="32"/>
        <v>80</v>
      </c>
      <c r="B89" s="166">
        <f t="shared" si="32"/>
        <v>2099</v>
      </c>
      <c r="C89" s="29">
        <v>5.85</v>
      </c>
      <c r="D89" s="164">
        <f t="shared" si="36"/>
        <v>1.059E-2</v>
      </c>
      <c r="E89" s="200">
        <v>0</v>
      </c>
      <c r="F89" s="203">
        <f t="shared" si="18"/>
        <v>0</v>
      </c>
      <c r="G89" s="200">
        <v>0</v>
      </c>
      <c r="H89" s="200">
        <v>0</v>
      </c>
      <c r="I89" s="200">
        <v>0</v>
      </c>
      <c r="J89" s="200">
        <v>0</v>
      </c>
      <c r="K89" s="200">
        <v>0</v>
      </c>
      <c r="L89" s="200">
        <v>0</v>
      </c>
      <c r="M89" s="203">
        <f t="shared" si="21"/>
        <v>0</v>
      </c>
      <c r="N89" s="200">
        <v>0</v>
      </c>
      <c r="O89" s="200">
        <v>0</v>
      </c>
      <c r="P89" s="200">
        <v>0</v>
      </c>
      <c r="Q89" s="200">
        <v>0</v>
      </c>
      <c r="R89" s="200">
        <v>0</v>
      </c>
      <c r="S89" s="200">
        <v>0</v>
      </c>
      <c r="T89" s="200">
        <v>0</v>
      </c>
      <c r="U89" s="203">
        <f t="shared" si="22"/>
        <v>0</v>
      </c>
      <c r="V89" s="200">
        <v>0</v>
      </c>
      <c r="W89" s="200">
        <v>0</v>
      </c>
      <c r="X89" s="200">
        <v>0</v>
      </c>
      <c r="Y89" s="200">
        <v>0</v>
      </c>
      <c r="Z89" s="200">
        <v>0</v>
      </c>
      <c r="AA89" s="200">
        <v>0</v>
      </c>
      <c r="AB89" s="200">
        <v>0</v>
      </c>
      <c r="AC89" s="203">
        <f t="shared" si="23"/>
        <v>0</v>
      </c>
      <c r="AD89" s="200">
        <v>0</v>
      </c>
      <c r="AE89" s="200">
        <v>0</v>
      </c>
      <c r="AF89" s="200">
        <v>0</v>
      </c>
      <c r="AG89" s="200">
        <v>0</v>
      </c>
      <c r="AH89" s="203">
        <f t="shared" si="24"/>
        <v>0</v>
      </c>
      <c r="AI89" s="200">
        <v>0</v>
      </c>
      <c r="AJ89" s="200">
        <v>0</v>
      </c>
      <c r="AK89" s="200">
        <v>0</v>
      </c>
      <c r="AL89" s="200">
        <v>0</v>
      </c>
      <c r="AM89" s="200">
        <v>0</v>
      </c>
      <c r="AN89" s="200">
        <v>2288.3245216000005</v>
      </c>
      <c r="AO89" s="200">
        <v>0</v>
      </c>
      <c r="AP89" s="200">
        <v>0</v>
      </c>
      <c r="AQ89" s="200">
        <v>0</v>
      </c>
      <c r="AR89" s="203">
        <f t="shared" si="25"/>
        <v>2288.3245200000001</v>
      </c>
      <c r="AS89" s="203">
        <f t="shared" si="26"/>
        <v>258.15847000000002</v>
      </c>
      <c r="AT89" s="200">
        <v>0</v>
      </c>
      <c r="AU89" s="200">
        <v>0</v>
      </c>
      <c r="AV89" s="200">
        <v>0</v>
      </c>
      <c r="AW89" s="200">
        <v>0</v>
      </c>
      <c r="AX89" s="200">
        <v>258.15847200000002</v>
      </c>
      <c r="AY89" s="200">
        <v>0</v>
      </c>
      <c r="AZ89" s="203">
        <f t="shared" si="27"/>
        <v>22883.245220000001</v>
      </c>
      <c r="BA89" s="200">
        <v>11463.08548</v>
      </c>
      <c r="BB89" s="200">
        <v>9080.5971520000003</v>
      </c>
      <c r="BC89" s="200">
        <v>0</v>
      </c>
      <c r="BD89" s="200">
        <v>794.29152800000008</v>
      </c>
      <c r="BE89" s="200">
        <v>0</v>
      </c>
      <c r="BF89" s="200">
        <v>1545.271056</v>
      </c>
      <c r="BG89" s="200">
        <v>0</v>
      </c>
      <c r="BH89" s="200">
        <v>0</v>
      </c>
      <c r="BI89" s="200">
        <v>0</v>
      </c>
      <c r="BJ89" s="203">
        <f t="shared" si="28"/>
        <v>23141.403689999999</v>
      </c>
      <c r="BK89" s="203">
        <f t="shared" si="29"/>
        <v>-20853.079170000001</v>
      </c>
      <c r="BL89" s="203">
        <f>$BO$9+SUMPRODUCT($D$10:D89,$BK$10:BK89)</f>
        <v>8046636.7231214046</v>
      </c>
      <c r="BM89" s="202">
        <f t="shared" si="30"/>
        <v>5.85</v>
      </c>
      <c r="BN89" s="203">
        <f t="shared" si="33"/>
        <v>41737209.098930001</v>
      </c>
      <c r="BO89" s="204">
        <f t="shared" si="31"/>
        <v>755172921.81340003</v>
      </c>
      <c r="BP89" s="201">
        <f t="shared" si="34"/>
        <v>252.03806760875815</v>
      </c>
      <c r="BQ89" s="201">
        <f t="shared" si="35"/>
        <v>20037.026374896272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165">
        <f t="shared" si="32"/>
        <v>81</v>
      </c>
      <c r="B90" s="166">
        <f t="shared" si="32"/>
        <v>2100</v>
      </c>
      <c r="C90" s="29">
        <v>5.85</v>
      </c>
      <c r="D90" s="164">
        <f t="shared" si="36"/>
        <v>0.01</v>
      </c>
      <c r="E90" s="200">
        <v>0</v>
      </c>
      <c r="F90" s="203">
        <f t="shared" si="18"/>
        <v>0</v>
      </c>
      <c r="G90" s="200">
        <v>0</v>
      </c>
      <c r="H90" s="200">
        <v>0</v>
      </c>
      <c r="I90" s="200">
        <v>0</v>
      </c>
      <c r="J90" s="200">
        <v>0</v>
      </c>
      <c r="K90" s="200">
        <v>0</v>
      </c>
      <c r="L90" s="200">
        <v>0</v>
      </c>
      <c r="M90" s="203">
        <f t="shared" si="21"/>
        <v>0</v>
      </c>
      <c r="N90" s="200">
        <v>0</v>
      </c>
      <c r="O90" s="200">
        <v>0</v>
      </c>
      <c r="P90" s="200">
        <v>0</v>
      </c>
      <c r="Q90" s="200">
        <v>0</v>
      </c>
      <c r="R90" s="200">
        <v>0</v>
      </c>
      <c r="S90" s="200">
        <v>0</v>
      </c>
      <c r="T90" s="200">
        <v>0</v>
      </c>
      <c r="U90" s="203">
        <f t="shared" si="22"/>
        <v>0</v>
      </c>
      <c r="V90" s="200">
        <v>0</v>
      </c>
      <c r="W90" s="200">
        <v>0</v>
      </c>
      <c r="X90" s="200">
        <v>0</v>
      </c>
      <c r="Y90" s="200">
        <v>0</v>
      </c>
      <c r="Z90" s="200">
        <v>0</v>
      </c>
      <c r="AA90" s="200">
        <v>0</v>
      </c>
      <c r="AB90" s="200">
        <v>0</v>
      </c>
      <c r="AC90" s="203">
        <f t="shared" si="23"/>
        <v>0</v>
      </c>
      <c r="AD90" s="200">
        <v>0</v>
      </c>
      <c r="AE90" s="200">
        <v>0</v>
      </c>
      <c r="AF90" s="200">
        <v>0</v>
      </c>
      <c r="AG90" s="200">
        <v>0</v>
      </c>
      <c r="AH90" s="203">
        <f t="shared" si="24"/>
        <v>0</v>
      </c>
      <c r="AI90" s="200">
        <v>0</v>
      </c>
      <c r="AJ90" s="200">
        <v>0</v>
      </c>
      <c r="AK90" s="200">
        <v>0</v>
      </c>
      <c r="AL90" s="200">
        <v>0</v>
      </c>
      <c r="AM90" s="200">
        <v>0</v>
      </c>
      <c r="AN90" s="200">
        <v>890.22574160000011</v>
      </c>
      <c r="AO90" s="200">
        <v>0</v>
      </c>
      <c r="AP90" s="200">
        <v>0</v>
      </c>
      <c r="AQ90" s="200">
        <v>0</v>
      </c>
      <c r="AR90" s="203">
        <f t="shared" si="25"/>
        <v>890.22573999999997</v>
      </c>
      <c r="AS90" s="203">
        <f t="shared" si="26"/>
        <v>151.03281999999999</v>
      </c>
      <c r="AT90" s="200">
        <v>0</v>
      </c>
      <c r="AU90" s="200">
        <v>0</v>
      </c>
      <c r="AV90" s="200">
        <v>0</v>
      </c>
      <c r="AW90" s="200">
        <v>0</v>
      </c>
      <c r="AX90" s="200">
        <v>151.032816</v>
      </c>
      <c r="AY90" s="200">
        <v>0</v>
      </c>
      <c r="AZ90" s="203">
        <f t="shared" si="27"/>
        <v>8902.2574199999999</v>
      </c>
      <c r="BA90" s="200">
        <v>4401.7684319999998</v>
      </c>
      <c r="BB90" s="200">
        <v>3727.6371120000003</v>
      </c>
      <c r="BC90" s="200">
        <v>0</v>
      </c>
      <c r="BD90" s="200">
        <v>310.34017599999999</v>
      </c>
      <c r="BE90" s="200">
        <v>0</v>
      </c>
      <c r="BF90" s="200">
        <v>462.51169600000003</v>
      </c>
      <c r="BG90" s="200">
        <v>0</v>
      </c>
      <c r="BH90" s="200">
        <v>0</v>
      </c>
      <c r="BI90" s="200">
        <v>0</v>
      </c>
      <c r="BJ90" s="203">
        <f t="shared" si="28"/>
        <v>9053.2902400000003</v>
      </c>
      <c r="BK90" s="203">
        <f t="shared" si="29"/>
        <v>-8163.0645000000004</v>
      </c>
      <c r="BL90" s="203">
        <f>$BO$9+SUMPRODUCT($D$10:D90,$BK$10:BK90)</f>
        <v>8046555.092476368</v>
      </c>
      <c r="BM90" s="202">
        <f t="shared" si="30"/>
        <v>5.85</v>
      </c>
      <c r="BN90" s="203">
        <f t="shared" si="33"/>
        <v>44177615.926080003</v>
      </c>
      <c r="BO90" s="204">
        <f t="shared" si="31"/>
        <v>799342374.67498004</v>
      </c>
      <c r="BP90" s="201">
        <f t="shared" si="34"/>
        <v>93.15196574520985</v>
      </c>
      <c r="BQ90" s="201">
        <f t="shared" si="35"/>
        <v>7498.733242489393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>
      <c r="A91" s="165">
        <f t="shared" ref="A91:B106" si="37">A90+1</f>
        <v>82</v>
      </c>
      <c r="B91" s="166">
        <f t="shared" si="37"/>
        <v>2101</v>
      </c>
      <c r="C91" s="29">
        <v>5.85</v>
      </c>
      <c r="D91" s="164">
        <f t="shared" si="36"/>
        <v>9.4500000000000001E-3</v>
      </c>
      <c r="E91" s="200">
        <v>0</v>
      </c>
      <c r="F91" s="203">
        <f t="shared" si="18"/>
        <v>0</v>
      </c>
      <c r="G91" s="200">
        <v>0</v>
      </c>
      <c r="H91" s="200">
        <v>0</v>
      </c>
      <c r="I91" s="200">
        <v>0</v>
      </c>
      <c r="J91" s="200">
        <v>0</v>
      </c>
      <c r="K91" s="200">
        <v>0</v>
      </c>
      <c r="L91" s="200">
        <v>0</v>
      </c>
      <c r="M91" s="203">
        <f t="shared" si="21"/>
        <v>0</v>
      </c>
      <c r="N91" s="200">
        <v>0</v>
      </c>
      <c r="O91" s="200">
        <v>0</v>
      </c>
      <c r="P91" s="200">
        <v>0</v>
      </c>
      <c r="Q91" s="200">
        <v>0</v>
      </c>
      <c r="R91" s="200">
        <v>0</v>
      </c>
      <c r="S91" s="200">
        <v>0</v>
      </c>
      <c r="T91" s="200">
        <v>0</v>
      </c>
      <c r="U91" s="203">
        <f t="shared" si="22"/>
        <v>0</v>
      </c>
      <c r="V91" s="200">
        <v>0</v>
      </c>
      <c r="W91" s="200">
        <v>0</v>
      </c>
      <c r="X91" s="200">
        <v>0</v>
      </c>
      <c r="Y91" s="200">
        <v>0</v>
      </c>
      <c r="Z91" s="200">
        <v>0</v>
      </c>
      <c r="AA91" s="200">
        <v>0</v>
      </c>
      <c r="AB91" s="200">
        <v>0</v>
      </c>
      <c r="AC91" s="203">
        <f t="shared" si="23"/>
        <v>0</v>
      </c>
      <c r="AD91" s="200">
        <v>0</v>
      </c>
      <c r="AE91" s="200">
        <v>0</v>
      </c>
      <c r="AF91" s="200">
        <v>0</v>
      </c>
      <c r="AG91" s="200">
        <v>0</v>
      </c>
      <c r="AH91" s="203">
        <f t="shared" si="24"/>
        <v>0</v>
      </c>
      <c r="AI91" s="200">
        <v>0</v>
      </c>
      <c r="AJ91" s="200">
        <v>0</v>
      </c>
      <c r="AK91" s="200">
        <v>0</v>
      </c>
      <c r="AL91" s="200">
        <v>0</v>
      </c>
      <c r="AM91" s="200">
        <v>0</v>
      </c>
      <c r="AN91" s="200">
        <v>288.07008239999999</v>
      </c>
      <c r="AO91" s="200">
        <v>0</v>
      </c>
      <c r="AP91" s="200">
        <v>0</v>
      </c>
      <c r="AQ91" s="200">
        <v>0</v>
      </c>
      <c r="AR91" s="203">
        <f t="shared" si="25"/>
        <v>288.07008000000002</v>
      </c>
      <c r="AS91" s="203">
        <f t="shared" si="26"/>
        <v>75.907129999999995</v>
      </c>
      <c r="AT91" s="200">
        <v>0</v>
      </c>
      <c r="AU91" s="200">
        <v>0</v>
      </c>
      <c r="AV91" s="200">
        <v>0</v>
      </c>
      <c r="AW91" s="200">
        <v>0</v>
      </c>
      <c r="AX91" s="200">
        <v>75.907128</v>
      </c>
      <c r="AY91" s="200">
        <v>0</v>
      </c>
      <c r="AZ91" s="203">
        <f t="shared" si="27"/>
        <v>2880.70082</v>
      </c>
      <c r="BA91" s="200">
        <v>1425.966424</v>
      </c>
      <c r="BB91" s="200">
        <v>1245.224688</v>
      </c>
      <c r="BC91" s="200">
        <v>0</v>
      </c>
      <c r="BD91" s="200">
        <v>101.11063199999998</v>
      </c>
      <c r="BE91" s="200">
        <v>0</v>
      </c>
      <c r="BF91" s="200">
        <v>108.39908</v>
      </c>
      <c r="BG91" s="200">
        <v>0</v>
      </c>
      <c r="BH91" s="200">
        <v>0</v>
      </c>
      <c r="BI91" s="200">
        <v>0</v>
      </c>
      <c r="BJ91" s="203">
        <f t="shared" si="28"/>
        <v>2956.6079500000001</v>
      </c>
      <c r="BK91" s="203">
        <f t="shared" si="29"/>
        <v>-2668.5378700000001</v>
      </c>
      <c r="BL91" s="203">
        <f>$BO$9+SUMPRODUCT($D$10:D91,$BK$10:BK91)</f>
        <v>8046529.8747935295</v>
      </c>
      <c r="BM91" s="202">
        <f t="shared" si="30"/>
        <v>5.85</v>
      </c>
      <c r="BN91" s="203">
        <f t="shared" si="33"/>
        <v>46761528.91849</v>
      </c>
      <c r="BO91" s="204">
        <f t="shared" si="31"/>
        <v>846101235.05560005</v>
      </c>
      <c r="BP91" s="201">
        <f t="shared" si="34"/>
        <v>28.740112140827929</v>
      </c>
      <c r="BQ91" s="201">
        <f t="shared" si="35"/>
        <v>2342.3191394774763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165">
        <f t="shared" si="37"/>
        <v>83</v>
      </c>
      <c r="B92" s="166">
        <f t="shared" si="37"/>
        <v>2102</v>
      </c>
      <c r="C92" s="29">
        <v>5.85</v>
      </c>
      <c r="D92" s="164">
        <f t="shared" si="36"/>
        <v>8.9300000000000004E-3</v>
      </c>
      <c r="E92" s="200">
        <v>0</v>
      </c>
      <c r="F92" s="203">
        <f t="shared" si="18"/>
        <v>0</v>
      </c>
      <c r="G92" s="200">
        <v>0</v>
      </c>
      <c r="H92" s="200">
        <v>0</v>
      </c>
      <c r="I92" s="200">
        <v>0</v>
      </c>
      <c r="J92" s="200">
        <v>0</v>
      </c>
      <c r="K92" s="200">
        <v>0</v>
      </c>
      <c r="L92" s="200">
        <v>0</v>
      </c>
      <c r="M92" s="203">
        <f t="shared" si="21"/>
        <v>0</v>
      </c>
      <c r="N92" s="200">
        <v>0</v>
      </c>
      <c r="O92" s="200">
        <v>0</v>
      </c>
      <c r="P92" s="200">
        <v>0</v>
      </c>
      <c r="Q92" s="200">
        <v>0</v>
      </c>
      <c r="R92" s="200">
        <v>0</v>
      </c>
      <c r="S92" s="200">
        <v>0</v>
      </c>
      <c r="T92" s="200">
        <v>0</v>
      </c>
      <c r="U92" s="203">
        <f t="shared" si="22"/>
        <v>0</v>
      </c>
      <c r="V92" s="200">
        <v>0</v>
      </c>
      <c r="W92" s="200">
        <v>0</v>
      </c>
      <c r="X92" s="200">
        <v>0</v>
      </c>
      <c r="Y92" s="200">
        <v>0</v>
      </c>
      <c r="Z92" s="200">
        <v>0</v>
      </c>
      <c r="AA92" s="200">
        <v>0</v>
      </c>
      <c r="AB92" s="200">
        <v>0</v>
      </c>
      <c r="AC92" s="203">
        <f t="shared" si="23"/>
        <v>0</v>
      </c>
      <c r="AD92" s="200">
        <v>0</v>
      </c>
      <c r="AE92" s="200">
        <v>0</v>
      </c>
      <c r="AF92" s="200">
        <v>0</v>
      </c>
      <c r="AG92" s="200">
        <v>0</v>
      </c>
      <c r="AH92" s="203">
        <f t="shared" si="24"/>
        <v>0</v>
      </c>
      <c r="AI92" s="200">
        <v>0</v>
      </c>
      <c r="AJ92" s="200">
        <v>0</v>
      </c>
      <c r="AK92" s="200">
        <v>0</v>
      </c>
      <c r="AL92" s="200">
        <v>0</v>
      </c>
      <c r="AM92" s="200">
        <v>0</v>
      </c>
      <c r="AN92" s="200">
        <v>74.452649600000015</v>
      </c>
      <c r="AO92" s="200">
        <v>0</v>
      </c>
      <c r="AP92" s="200">
        <v>0</v>
      </c>
      <c r="AQ92" s="200">
        <v>0</v>
      </c>
      <c r="AR92" s="203">
        <f t="shared" si="25"/>
        <v>74.452650000000006</v>
      </c>
      <c r="AS92" s="203">
        <f t="shared" si="26"/>
        <v>29.80217</v>
      </c>
      <c r="AT92" s="200">
        <v>0</v>
      </c>
      <c r="AU92" s="200">
        <v>0</v>
      </c>
      <c r="AV92" s="200">
        <v>0</v>
      </c>
      <c r="AW92" s="200">
        <v>0</v>
      </c>
      <c r="AX92" s="200">
        <v>29.802168000000002</v>
      </c>
      <c r="AY92" s="200">
        <v>0</v>
      </c>
      <c r="AZ92" s="203">
        <f t="shared" si="27"/>
        <v>744.52650000000006</v>
      </c>
      <c r="BA92" s="200">
        <v>391.049736</v>
      </c>
      <c r="BB92" s="200">
        <v>308.21913600000005</v>
      </c>
      <c r="BC92" s="200">
        <v>0</v>
      </c>
      <c r="BD92" s="200">
        <v>26.691127999999999</v>
      </c>
      <c r="BE92" s="200">
        <v>0</v>
      </c>
      <c r="BF92" s="200">
        <v>18.566496000000001</v>
      </c>
      <c r="BG92" s="200">
        <v>0</v>
      </c>
      <c r="BH92" s="200">
        <v>0</v>
      </c>
      <c r="BI92" s="200">
        <v>0</v>
      </c>
      <c r="BJ92" s="203">
        <f t="shared" si="28"/>
        <v>774.32866999999999</v>
      </c>
      <c r="BK92" s="203">
        <f t="shared" si="29"/>
        <v>-699.87602000000004</v>
      </c>
      <c r="BL92" s="203">
        <f>$BO$9+SUMPRODUCT($D$10:D92,$BK$10:BK92)</f>
        <v>8046523.6249005795</v>
      </c>
      <c r="BM92" s="202">
        <f t="shared" si="30"/>
        <v>5.85</v>
      </c>
      <c r="BN92" s="203">
        <f t="shared" si="33"/>
        <v>49496922.250749998</v>
      </c>
      <c r="BO92" s="204">
        <f t="shared" si="31"/>
        <v>895597457.43033004</v>
      </c>
      <c r="BP92" s="201">
        <f t="shared" si="34"/>
        <v>7.1109757116626406</v>
      </c>
      <c r="BQ92" s="201">
        <f t="shared" si="35"/>
        <v>586.6554962121678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165">
        <f t="shared" si="37"/>
        <v>84</v>
      </c>
      <c r="B93" s="166">
        <f t="shared" si="37"/>
        <v>2103</v>
      </c>
      <c r="C93" s="29">
        <v>5.85</v>
      </c>
      <c r="D93" s="164">
        <f t="shared" si="36"/>
        <v>8.4399999999999996E-3</v>
      </c>
      <c r="E93" s="200">
        <v>0</v>
      </c>
      <c r="F93" s="203">
        <f t="shared" si="18"/>
        <v>0</v>
      </c>
      <c r="G93" s="200">
        <v>0</v>
      </c>
      <c r="H93" s="200">
        <v>0</v>
      </c>
      <c r="I93" s="200">
        <v>0</v>
      </c>
      <c r="J93" s="200">
        <v>0</v>
      </c>
      <c r="K93" s="200">
        <v>0</v>
      </c>
      <c r="L93" s="200">
        <v>0</v>
      </c>
      <c r="M93" s="203">
        <f t="shared" si="21"/>
        <v>0</v>
      </c>
      <c r="N93" s="200">
        <v>0</v>
      </c>
      <c r="O93" s="200">
        <v>0</v>
      </c>
      <c r="P93" s="200">
        <v>0</v>
      </c>
      <c r="Q93" s="200">
        <v>0</v>
      </c>
      <c r="R93" s="200">
        <v>0</v>
      </c>
      <c r="S93" s="200">
        <v>0</v>
      </c>
      <c r="T93" s="200">
        <v>0</v>
      </c>
      <c r="U93" s="203">
        <f t="shared" si="22"/>
        <v>0</v>
      </c>
      <c r="V93" s="200">
        <v>0</v>
      </c>
      <c r="W93" s="200">
        <v>0</v>
      </c>
      <c r="X93" s="200">
        <v>0</v>
      </c>
      <c r="Y93" s="200">
        <v>0</v>
      </c>
      <c r="Z93" s="200">
        <v>0</v>
      </c>
      <c r="AA93" s="200">
        <v>0</v>
      </c>
      <c r="AB93" s="200">
        <v>0</v>
      </c>
      <c r="AC93" s="203">
        <f t="shared" si="23"/>
        <v>0</v>
      </c>
      <c r="AD93" s="200">
        <v>0</v>
      </c>
      <c r="AE93" s="200">
        <v>0</v>
      </c>
      <c r="AF93" s="200">
        <v>0</v>
      </c>
      <c r="AG93" s="200">
        <v>0</v>
      </c>
      <c r="AH93" s="203">
        <f t="shared" si="24"/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14.621604799999998</v>
      </c>
      <c r="AO93" s="200">
        <v>0</v>
      </c>
      <c r="AP93" s="200">
        <v>0</v>
      </c>
      <c r="AQ93" s="200">
        <v>0</v>
      </c>
      <c r="AR93" s="203">
        <f t="shared" si="25"/>
        <v>14.621600000000001</v>
      </c>
      <c r="AS93" s="203">
        <f t="shared" si="26"/>
        <v>7.5311300000000001</v>
      </c>
      <c r="AT93" s="200">
        <v>0</v>
      </c>
      <c r="AU93" s="200">
        <v>0</v>
      </c>
      <c r="AV93" s="200">
        <v>0</v>
      </c>
      <c r="AW93" s="200">
        <v>0</v>
      </c>
      <c r="AX93" s="200">
        <v>7.5311279999999998</v>
      </c>
      <c r="AY93" s="200">
        <v>0</v>
      </c>
      <c r="AZ93" s="203">
        <f t="shared" si="27"/>
        <v>146.21605</v>
      </c>
      <c r="BA93" s="200">
        <v>89.582287999999991</v>
      </c>
      <c r="BB93" s="200">
        <v>48.990639999999999</v>
      </c>
      <c r="BC93" s="200">
        <v>0</v>
      </c>
      <c r="BD93" s="200">
        <v>5.5413999999999994</v>
      </c>
      <c r="BE93" s="200">
        <v>0</v>
      </c>
      <c r="BF93" s="200">
        <v>2.1017200000000003</v>
      </c>
      <c r="BG93" s="200">
        <v>0</v>
      </c>
      <c r="BH93" s="200">
        <v>0</v>
      </c>
      <c r="BI93" s="200">
        <v>0</v>
      </c>
      <c r="BJ93" s="203">
        <f t="shared" si="28"/>
        <v>153.74717999999999</v>
      </c>
      <c r="BK93" s="203">
        <f t="shared" si="29"/>
        <v>-139.12558000000001</v>
      </c>
      <c r="BL93" s="203">
        <f>$BO$9+SUMPRODUCT($D$10:D93,$BK$10:BK93)</f>
        <v>8046522.4506807327</v>
      </c>
      <c r="BM93" s="202">
        <f t="shared" si="30"/>
        <v>5.85</v>
      </c>
      <c r="BN93" s="203">
        <f t="shared" si="33"/>
        <v>52392451.259669997</v>
      </c>
      <c r="BO93" s="204">
        <f t="shared" si="31"/>
        <v>947989769.56441998</v>
      </c>
      <c r="BP93" s="201">
        <f t="shared" si="34"/>
        <v>1.3338904158199125</v>
      </c>
      <c r="BQ93" s="201">
        <f t="shared" si="35"/>
        <v>111.3798497209627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>
      <c r="A94" s="165">
        <f t="shared" si="37"/>
        <v>85</v>
      </c>
      <c r="B94" s="166">
        <f t="shared" si="37"/>
        <v>2104</v>
      </c>
      <c r="C94" s="29">
        <v>5.85</v>
      </c>
      <c r="D94" s="164">
        <f t="shared" si="36"/>
        <v>7.9699999999999997E-3</v>
      </c>
      <c r="E94" s="200">
        <v>0</v>
      </c>
      <c r="F94" s="203">
        <f t="shared" si="18"/>
        <v>0</v>
      </c>
      <c r="G94" s="200">
        <v>0</v>
      </c>
      <c r="H94" s="200">
        <v>0</v>
      </c>
      <c r="I94" s="200">
        <v>0</v>
      </c>
      <c r="J94" s="200">
        <v>0</v>
      </c>
      <c r="K94" s="200">
        <v>0</v>
      </c>
      <c r="L94" s="200">
        <v>0</v>
      </c>
      <c r="M94" s="203">
        <f t="shared" si="21"/>
        <v>0</v>
      </c>
      <c r="N94" s="200">
        <v>0</v>
      </c>
      <c r="O94" s="200">
        <v>0</v>
      </c>
      <c r="P94" s="200">
        <v>0</v>
      </c>
      <c r="Q94" s="200">
        <v>0</v>
      </c>
      <c r="R94" s="200">
        <v>0</v>
      </c>
      <c r="S94" s="200">
        <v>0</v>
      </c>
      <c r="T94" s="200">
        <v>0</v>
      </c>
      <c r="U94" s="203">
        <f t="shared" si="22"/>
        <v>0</v>
      </c>
      <c r="V94" s="200">
        <v>0</v>
      </c>
      <c r="W94" s="200">
        <v>0</v>
      </c>
      <c r="X94" s="200">
        <v>0</v>
      </c>
      <c r="Y94" s="200">
        <v>0</v>
      </c>
      <c r="Z94" s="200">
        <v>0</v>
      </c>
      <c r="AA94" s="200">
        <v>0</v>
      </c>
      <c r="AB94" s="200">
        <v>0</v>
      </c>
      <c r="AC94" s="203">
        <f t="shared" si="23"/>
        <v>0</v>
      </c>
      <c r="AD94" s="200">
        <v>0</v>
      </c>
      <c r="AE94" s="200">
        <v>0</v>
      </c>
      <c r="AF94" s="200">
        <v>0</v>
      </c>
      <c r="AG94" s="200">
        <v>0</v>
      </c>
      <c r="AH94" s="203">
        <f t="shared" si="24"/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1.9210120000000002</v>
      </c>
      <c r="AO94" s="200">
        <v>0</v>
      </c>
      <c r="AP94" s="200">
        <v>0</v>
      </c>
      <c r="AQ94" s="200">
        <v>0</v>
      </c>
      <c r="AR94" s="203">
        <f t="shared" si="25"/>
        <v>1.9210100000000001</v>
      </c>
      <c r="AS94" s="203">
        <f t="shared" si="26"/>
        <v>0.78144000000000002</v>
      </c>
      <c r="AT94" s="200">
        <v>0</v>
      </c>
      <c r="AU94" s="200">
        <v>0</v>
      </c>
      <c r="AV94" s="200">
        <v>0</v>
      </c>
      <c r="AW94" s="200">
        <v>0</v>
      </c>
      <c r="AX94" s="200">
        <v>0.78144000000000002</v>
      </c>
      <c r="AY94" s="200">
        <v>0</v>
      </c>
      <c r="AZ94" s="203">
        <f t="shared" si="27"/>
        <v>19.21012</v>
      </c>
      <c r="BA94" s="200">
        <v>14.698168000000001</v>
      </c>
      <c r="BB94" s="200">
        <v>3.5709759999999999</v>
      </c>
      <c r="BC94" s="200">
        <v>0</v>
      </c>
      <c r="BD94" s="200">
        <v>0.81375999999999993</v>
      </c>
      <c r="BE94" s="200">
        <v>0</v>
      </c>
      <c r="BF94" s="200">
        <v>0.127216</v>
      </c>
      <c r="BG94" s="200">
        <v>0</v>
      </c>
      <c r="BH94" s="200">
        <v>0</v>
      </c>
      <c r="BI94" s="200">
        <v>0</v>
      </c>
      <c r="BJ94" s="203">
        <f t="shared" si="28"/>
        <v>19.99156</v>
      </c>
      <c r="BK94" s="203">
        <f t="shared" si="29"/>
        <v>-18.070550000000001</v>
      </c>
      <c r="BL94" s="203">
        <f>$BO$9+SUMPRODUCT($D$10:D94,$BK$10:BK94)</f>
        <v>8046522.3066585064</v>
      </c>
      <c r="BM94" s="202">
        <f t="shared" si="30"/>
        <v>5.85</v>
      </c>
      <c r="BN94" s="203">
        <f t="shared" si="33"/>
        <v>55457401.51952</v>
      </c>
      <c r="BO94" s="204">
        <f t="shared" si="31"/>
        <v>1003447153.0133899</v>
      </c>
      <c r="BP94" s="201">
        <f t="shared" si="34"/>
        <v>0.16385843992344534</v>
      </c>
      <c r="BQ94" s="201">
        <f t="shared" si="35"/>
        <v>13.846038173531131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>
      <c r="A95" s="165">
        <f t="shared" si="37"/>
        <v>86</v>
      </c>
      <c r="B95" s="166">
        <f t="shared" si="37"/>
        <v>2105</v>
      </c>
      <c r="C95" s="29">
        <v>5.85</v>
      </c>
      <c r="D95" s="164">
        <f t="shared" si="36"/>
        <v>7.5300000000000002E-3</v>
      </c>
      <c r="E95" s="200">
        <v>0</v>
      </c>
      <c r="F95" s="203">
        <f t="shared" si="18"/>
        <v>0</v>
      </c>
      <c r="G95" s="200">
        <v>0</v>
      </c>
      <c r="H95" s="200">
        <v>0</v>
      </c>
      <c r="I95" s="200">
        <v>0</v>
      </c>
      <c r="J95" s="200">
        <v>0</v>
      </c>
      <c r="K95" s="200">
        <v>0</v>
      </c>
      <c r="L95" s="200">
        <v>0</v>
      </c>
      <c r="M95" s="203">
        <f t="shared" si="21"/>
        <v>0</v>
      </c>
      <c r="N95" s="200">
        <v>0</v>
      </c>
      <c r="O95" s="200">
        <v>0</v>
      </c>
      <c r="P95" s="200">
        <v>0</v>
      </c>
      <c r="Q95" s="200">
        <v>0</v>
      </c>
      <c r="R95" s="200">
        <v>0</v>
      </c>
      <c r="S95" s="200">
        <v>0</v>
      </c>
      <c r="T95" s="200">
        <v>0</v>
      </c>
      <c r="U95" s="203">
        <f t="shared" si="22"/>
        <v>0</v>
      </c>
      <c r="V95" s="200">
        <v>0</v>
      </c>
      <c r="W95" s="200">
        <v>0</v>
      </c>
      <c r="X95" s="200">
        <v>0</v>
      </c>
      <c r="Y95" s="200">
        <v>0</v>
      </c>
      <c r="Z95" s="200">
        <v>0</v>
      </c>
      <c r="AA95" s="200">
        <v>0</v>
      </c>
      <c r="AB95" s="200">
        <v>0</v>
      </c>
      <c r="AC95" s="203">
        <f t="shared" si="23"/>
        <v>0</v>
      </c>
      <c r="AD95" s="200">
        <v>0</v>
      </c>
      <c r="AE95" s="200">
        <v>0</v>
      </c>
      <c r="AF95" s="200">
        <v>0</v>
      </c>
      <c r="AG95" s="200">
        <v>0</v>
      </c>
      <c r="AH95" s="203">
        <f t="shared" si="24"/>
        <v>0</v>
      </c>
      <c r="AI95" s="200">
        <v>0</v>
      </c>
      <c r="AJ95" s="200">
        <v>0</v>
      </c>
      <c r="AK95" s="200">
        <v>0</v>
      </c>
      <c r="AL95" s="200">
        <v>0</v>
      </c>
      <c r="AM95" s="200">
        <v>0</v>
      </c>
      <c r="AN95" s="200">
        <v>0.11916959999999999</v>
      </c>
      <c r="AO95" s="200">
        <v>0</v>
      </c>
      <c r="AP95" s="200">
        <v>0</v>
      </c>
      <c r="AQ95" s="200">
        <v>0</v>
      </c>
      <c r="AR95" s="203">
        <f t="shared" si="25"/>
        <v>0.11917</v>
      </c>
      <c r="AS95" s="203">
        <f t="shared" si="26"/>
        <v>0</v>
      </c>
      <c r="AT95" s="200">
        <v>0</v>
      </c>
      <c r="AU95" s="200">
        <v>0</v>
      </c>
      <c r="AV95" s="200">
        <v>0</v>
      </c>
      <c r="AW95" s="200">
        <v>0</v>
      </c>
      <c r="AX95" s="200">
        <v>0</v>
      </c>
      <c r="AY95" s="200">
        <v>0</v>
      </c>
      <c r="AZ95" s="203">
        <f t="shared" si="27"/>
        <v>1.1917</v>
      </c>
      <c r="BA95" s="200">
        <v>1.1330879999999999</v>
      </c>
      <c r="BB95" s="200">
        <v>0</v>
      </c>
      <c r="BC95" s="200">
        <v>0</v>
      </c>
      <c r="BD95" s="200">
        <v>5.8608E-2</v>
      </c>
      <c r="BE95" s="200">
        <v>0</v>
      </c>
      <c r="BF95" s="200">
        <v>0</v>
      </c>
      <c r="BG95" s="200">
        <v>0</v>
      </c>
      <c r="BH95" s="200">
        <v>0</v>
      </c>
      <c r="BI95" s="200">
        <v>0</v>
      </c>
      <c r="BJ95" s="203">
        <f t="shared" si="28"/>
        <v>1.1917</v>
      </c>
      <c r="BK95" s="203">
        <f t="shared" si="29"/>
        <v>-1.07253</v>
      </c>
      <c r="BL95" s="203">
        <f>$BO$9+SUMPRODUCT($D$10:D95,$BK$10:BK95)</f>
        <v>8046522.2985823154</v>
      </c>
      <c r="BM95" s="202">
        <f t="shared" si="30"/>
        <v>5.85</v>
      </c>
      <c r="BN95" s="203">
        <f t="shared" si="33"/>
        <v>58701658.451279998</v>
      </c>
      <c r="BO95" s="204">
        <f t="shared" si="31"/>
        <v>1062148810.39214</v>
      </c>
      <c r="BP95" s="201">
        <f t="shared" si="34"/>
        <v>9.2278007382776243E-3</v>
      </c>
      <c r="BQ95" s="201">
        <f t="shared" si="35"/>
        <v>0.78897696312273691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>
      <c r="A96" s="165">
        <f t="shared" si="37"/>
        <v>87</v>
      </c>
      <c r="B96" s="166">
        <f t="shared" si="37"/>
        <v>2106</v>
      </c>
      <c r="C96" s="29">
        <v>5.85</v>
      </c>
      <c r="D96" s="164">
        <f t="shared" si="36"/>
        <v>7.11E-3</v>
      </c>
      <c r="E96" s="200">
        <v>0</v>
      </c>
      <c r="F96" s="203">
        <f t="shared" si="18"/>
        <v>0</v>
      </c>
      <c r="G96" s="200">
        <v>0</v>
      </c>
      <c r="H96" s="200">
        <v>0</v>
      </c>
      <c r="I96" s="200">
        <v>0</v>
      </c>
      <c r="J96" s="200">
        <v>0</v>
      </c>
      <c r="K96" s="200">
        <v>0</v>
      </c>
      <c r="L96" s="200">
        <v>0</v>
      </c>
      <c r="M96" s="203">
        <f t="shared" si="21"/>
        <v>0</v>
      </c>
      <c r="N96" s="200">
        <v>0</v>
      </c>
      <c r="O96" s="200">
        <v>0</v>
      </c>
      <c r="P96" s="200">
        <v>0</v>
      </c>
      <c r="Q96" s="200">
        <v>0</v>
      </c>
      <c r="R96" s="200">
        <v>0</v>
      </c>
      <c r="S96" s="200">
        <v>0</v>
      </c>
      <c r="T96" s="200">
        <v>0</v>
      </c>
      <c r="U96" s="203">
        <f t="shared" si="22"/>
        <v>0</v>
      </c>
      <c r="V96" s="200">
        <v>0</v>
      </c>
      <c r="W96" s="200">
        <v>0</v>
      </c>
      <c r="X96" s="200">
        <v>0</v>
      </c>
      <c r="Y96" s="200">
        <v>0</v>
      </c>
      <c r="Z96" s="200">
        <v>0</v>
      </c>
      <c r="AA96" s="200">
        <v>0</v>
      </c>
      <c r="AB96" s="200">
        <v>0</v>
      </c>
      <c r="AC96" s="203">
        <f t="shared" si="23"/>
        <v>0</v>
      </c>
      <c r="AD96" s="200">
        <v>0</v>
      </c>
      <c r="AE96" s="200">
        <v>0</v>
      </c>
      <c r="AF96" s="200">
        <v>0</v>
      </c>
      <c r="AG96" s="200">
        <v>0</v>
      </c>
      <c r="AH96" s="203">
        <f t="shared" si="24"/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203">
        <f t="shared" si="25"/>
        <v>0</v>
      </c>
      <c r="AS96" s="203">
        <f t="shared" si="26"/>
        <v>0</v>
      </c>
      <c r="AT96" s="200">
        <v>0</v>
      </c>
      <c r="AU96" s="200">
        <v>0</v>
      </c>
      <c r="AV96" s="200">
        <v>0</v>
      </c>
      <c r="AW96" s="200">
        <v>0</v>
      </c>
      <c r="AX96" s="200">
        <v>0</v>
      </c>
      <c r="AY96" s="200">
        <v>0</v>
      </c>
      <c r="AZ96" s="203">
        <f t="shared" si="27"/>
        <v>0</v>
      </c>
      <c r="BA96" s="200">
        <v>0</v>
      </c>
      <c r="BB96" s="200">
        <v>0</v>
      </c>
      <c r="BC96" s="200">
        <v>0</v>
      </c>
      <c r="BD96" s="200">
        <v>0</v>
      </c>
      <c r="BE96" s="200">
        <v>0</v>
      </c>
      <c r="BF96" s="200">
        <v>0</v>
      </c>
      <c r="BG96" s="200">
        <v>0</v>
      </c>
      <c r="BH96" s="200">
        <v>0</v>
      </c>
      <c r="BI96" s="200">
        <v>0</v>
      </c>
      <c r="BJ96" s="203">
        <f t="shared" si="28"/>
        <v>0</v>
      </c>
      <c r="BK96" s="203">
        <f t="shared" si="29"/>
        <v>0</v>
      </c>
      <c r="BL96" s="203">
        <f>$BO$9+SUMPRODUCT($D$10:D96,$BK$10:BK96)</f>
        <v>8046522.2985823154</v>
      </c>
      <c r="BM96" s="202">
        <f t="shared" si="30"/>
        <v>5.85</v>
      </c>
      <c r="BN96" s="203">
        <f t="shared" si="33"/>
        <v>62135705.40794</v>
      </c>
      <c r="BO96" s="204">
        <f t="shared" si="31"/>
        <v>1124284515.8000801</v>
      </c>
      <c r="BP96" s="201">
        <f t="shared" si="34"/>
        <v>0</v>
      </c>
      <c r="BQ96" s="201">
        <f t="shared" si="35"/>
        <v>0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A97" s="165">
        <f t="shared" si="37"/>
        <v>88</v>
      </c>
      <c r="B97" s="166">
        <f t="shared" si="37"/>
        <v>2107</v>
      </c>
      <c r="C97" s="29">
        <v>5.85</v>
      </c>
      <c r="D97" s="164">
        <f t="shared" si="36"/>
        <v>6.7200000000000003E-3</v>
      </c>
      <c r="E97" s="200">
        <v>0</v>
      </c>
      <c r="F97" s="203">
        <f t="shared" si="18"/>
        <v>0</v>
      </c>
      <c r="G97" s="200">
        <v>0</v>
      </c>
      <c r="H97" s="200">
        <v>0</v>
      </c>
      <c r="I97" s="200">
        <v>0</v>
      </c>
      <c r="J97" s="200">
        <v>0</v>
      </c>
      <c r="K97" s="200">
        <v>0</v>
      </c>
      <c r="L97" s="200">
        <v>0</v>
      </c>
      <c r="M97" s="203">
        <f t="shared" si="21"/>
        <v>0</v>
      </c>
      <c r="N97" s="200">
        <v>0</v>
      </c>
      <c r="O97" s="200">
        <v>0</v>
      </c>
      <c r="P97" s="200">
        <v>0</v>
      </c>
      <c r="Q97" s="200">
        <v>0</v>
      </c>
      <c r="R97" s="200">
        <v>0</v>
      </c>
      <c r="S97" s="200">
        <v>0</v>
      </c>
      <c r="T97" s="200">
        <v>0</v>
      </c>
      <c r="U97" s="203">
        <f t="shared" si="22"/>
        <v>0</v>
      </c>
      <c r="V97" s="200">
        <v>0</v>
      </c>
      <c r="W97" s="200">
        <v>0</v>
      </c>
      <c r="X97" s="200">
        <v>0</v>
      </c>
      <c r="Y97" s="200">
        <v>0</v>
      </c>
      <c r="Z97" s="200">
        <v>0</v>
      </c>
      <c r="AA97" s="200">
        <v>0</v>
      </c>
      <c r="AB97" s="200">
        <v>0</v>
      </c>
      <c r="AC97" s="203">
        <f t="shared" si="23"/>
        <v>0</v>
      </c>
      <c r="AD97" s="200">
        <v>0</v>
      </c>
      <c r="AE97" s="200">
        <v>0</v>
      </c>
      <c r="AF97" s="200">
        <v>0</v>
      </c>
      <c r="AG97" s="200">
        <v>0</v>
      </c>
      <c r="AH97" s="203">
        <f t="shared" si="24"/>
        <v>0</v>
      </c>
      <c r="AI97" s="200">
        <v>0</v>
      </c>
      <c r="AJ97" s="200">
        <v>0</v>
      </c>
      <c r="AK97" s="200">
        <v>0</v>
      </c>
      <c r="AL97" s="200">
        <v>0</v>
      </c>
      <c r="AM97" s="200">
        <v>0</v>
      </c>
      <c r="AN97" s="200">
        <v>0</v>
      </c>
      <c r="AO97" s="200">
        <v>0</v>
      </c>
      <c r="AP97" s="200">
        <v>0</v>
      </c>
      <c r="AQ97" s="200">
        <v>0</v>
      </c>
      <c r="AR97" s="203">
        <f t="shared" si="25"/>
        <v>0</v>
      </c>
      <c r="AS97" s="203">
        <f t="shared" si="26"/>
        <v>0</v>
      </c>
      <c r="AT97" s="200">
        <v>0</v>
      </c>
      <c r="AU97" s="200">
        <v>0</v>
      </c>
      <c r="AV97" s="200">
        <v>0</v>
      </c>
      <c r="AW97" s="200">
        <v>0</v>
      </c>
      <c r="AX97" s="200">
        <v>0</v>
      </c>
      <c r="AY97" s="200">
        <v>0</v>
      </c>
      <c r="AZ97" s="203">
        <f t="shared" si="27"/>
        <v>0</v>
      </c>
      <c r="BA97" s="200">
        <v>0</v>
      </c>
      <c r="BB97" s="200">
        <v>0</v>
      </c>
      <c r="BC97" s="200">
        <v>0</v>
      </c>
      <c r="BD97" s="200">
        <v>0</v>
      </c>
      <c r="BE97" s="200">
        <v>0</v>
      </c>
      <c r="BF97" s="200">
        <v>0</v>
      </c>
      <c r="BG97" s="200">
        <v>0</v>
      </c>
      <c r="BH97" s="200">
        <v>0</v>
      </c>
      <c r="BI97" s="200">
        <v>0</v>
      </c>
      <c r="BJ97" s="203">
        <f t="shared" si="28"/>
        <v>0</v>
      </c>
      <c r="BK97" s="203">
        <f t="shared" si="29"/>
        <v>0</v>
      </c>
      <c r="BL97" s="203">
        <f>$BO$9+SUMPRODUCT($D$10:D97,$BK$10:BK97)</f>
        <v>8046522.2985823154</v>
      </c>
      <c r="BM97" s="202">
        <f t="shared" si="30"/>
        <v>5.85</v>
      </c>
      <c r="BN97" s="203">
        <f t="shared" si="33"/>
        <v>65770644.1743</v>
      </c>
      <c r="BO97" s="204">
        <f t="shared" si="31"/>
        <v>1190055159.97438</v>
      </c>
      <c r="BP97" s="201">
        <f t="shared" si="34"/>
        <v>0</v>
      </c>
      <c r="BQ97" s="201">
        <f t="shared" si="35"/>
        <v>0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>
      <c r="A98" s="165">
        <f t="shared" si="37"/>
        <v>89</v>
      </c>
      <c r="B98" s="166">
        <f t="shared" si="37"/>
        <v>2108</v>
      </c>
      <c r="C98" s="29">
        <v>5.85</v>
      </c>
      <c r="D98" s="164">
        <f t="shared" si="36"/>
        <v>6.3499999999999997E-3</v>
      </c>
      <c r="E98" s="200">
        <v>0</v>
      </c>
      <c r="F98" s="203">
        <f t="shared" si="18"/>
        <v>0</v>
      </c>
      <c r="G98" s="200">
        <v>0</v>
      </c>
      <c r="H98" s="200">
        <v>0</v>
      </c>
      <c r="I98" s="200">
        <v>0</v>
      </c>
      <c r="J98" s="200">
        <v>0</v>
      </c>
      <c r="K98" s="200">
        <v>0</v>
      </c>
      <c r="L98" s="200">
        <v>0</v>
      </c>
      <c r="M98" s="203">
        <f t="shared" si="21"/>
        <v>0</v>
      </c>
      <c r="N98" s="200">
        <v>0</v>
      </c>
      <c r="O98" s="200">
        <v>0</v>
      </c>
      <c r="P98" s="200">
        <v>0</v>
      </c>
      <c r="Q98" s="200">
        <v>0</v>
      </c>
      <c r="R98" s="200">
        <v>0</v>
      </c>
      <c r="S98" s="200">
        <v>0</v>
      </c>
      <c r="T98" s="200">
        <v>0</v>
      </c>
      <c r="U98" s="203">
        <f t="shared" si="22"/>
        <v>0</v>
      </c>
      <c r="V98" s="200">
        <v>0</v>
      </c>
      <c r="W98" s="200">
        <v>0</v>
      </c>
      <c r="X98" s="200">
        <v>0</v>
      </c>
      <c r="Y98" s="200">
        <v>0</v>
      </c>
      <c r="Z98" s="200">
        <v>0</v>
      </c>
      <c r="AA98" s="200">
        <v>0</v>
      </c>
      <c r="AB98" s="200">
        <v>0</v>
      </c>
      <c r="AC98" s="203">
        <f t="shared" si="23"/>
        <v>0</v>
      </c>
      <c r="AD98" s="200">
        <v>0</v>
      </c>
      <c r="AE98" s="200">
        <v>0</v>
      </c>
      <c r="AF98" s="200">
        <v>0</v>
      </c>
      <c r="AG98" s="200">
        <v>0</v>
      </c>
      <c r="AH98" s="203">
        <f t="shared" si="24"/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203">
        <f t="shared" si="25"/>
        <v>0</v>
      </c>
      <c r="AS98" s="203">
        <f t="shared" si="26"/>
        <v>0</v>
      </c>
      <c r="AT98" s="200">
        <v>0</v>
      </c>
      <c r="AU98" s="200">
        <v>0</v>
      </c>
      <c r="AV98" s="200">
        <v>0</v>
      </c>
      <c r="AW98" s="200">
        <v>0</v>
      </c>
      <c r="AX98" s="200">
        <v>0</v>
      </c>
      <c r="AY98" s="200">
        <v>0</v>
      </c>
      <c r="AZ98" s="203">
        <f t="shared" si="27"/>
        <v>0</v>
      </c>
      <c r="BA98" s="200">
        <v>0</v>
      </c>
      <c r="BB98" s="200">
        <v>0</v>
      </c>
      <c r="BC98" s="200">
        <v>0</v>
      </c>
      <c r="BD98" s="200">
        <v>0</v>
      </c>
      <c r="BE98" s="200">
        <v>0</v>
      </c>
      <c r="BF98" s="200">
        <v>0</v>
      </c>
      <c r="BG98" s="200">
        <v>0</v>
      </c>
      <c r="BH98" s="200">
        <v>0</v>
      </c>
      <c r="BI98" s="200">
        <v>0</v>
      </c>
      <c r="BJ98" s="203">
        <f t="shared" si="28"/>
        <v>0</v>
      </c>
      <c r="BK98" s="203">
        <f t="shared" si="29"/>
        <v>0</v>
      </c>
      <c r="BL98" s="203">
        <f>$BO$9+SUMPRODUCT($D$10:D98,$BK$10:BK98)</f>
        <v>8046522.2985823154</v>
      </c>
      <c r="BM98" s="202">
        <f t="shared" si="30"/>
        <v>5.85</v>
      </c>
      <c r="BN98" s="203">
        <f t="shared" si="33"/>
        <v>69618226.858500004</v>
      </c>
      <c r="BO98" s="204">
        <f t="shared" si="31"/>
        <v>1259673386.83288</v>
      </c>
      <c r="BP98" s="201">
        <f t="shared" si="34"/>
        <v>0</v>
      </c>
      <c r="BQ98" s="201">
        <f t="shared" si="35"/>
        <v>0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>
      <c r="A99" s="165">
        <f t="shared" si="37"/>
        <v>90</v>
      </c>
      <c r="B99" s="166">
        <f t="shared" si="37"/>
        <v>2109</v>
      </c>
      <c r="C99" s="29">
        <v>5.85</v>
      </c>
      <c r="D99" s="164">
        <f t="shared" si="36"/>
        <v>6.0000000000000001E-3</v>
      </c>
      <c r="E99" s="200">
        <v>0</v>
      </c>
      <c r="F99" s="203">
        <f t="shared" si="18"/>
        <v>0</v>
      </c>
      <c r="G99" s="200">
        <v>0</v>
      </c>
      <c r="H99" s="200">
        <v>0</v>
      </c>
      <c r="I99" s="200">
        <v>0</v>
      </c>
      <c r="J99" s="200">
        <v>0</v>
      </c>
      <c r="K99" s="200">
        <v>0</v>
      </c>
      <c r="L99" s="200">
        <v>0</v>
      </c>
      <c r="M99" s="203">
        <f t="shared" si="21"/>
        <v>0</v>
      </c>
      <c r="N99" s="200">
        <v>0</v>
      </c>
      <c r="O99" s="200">
        <v>0</v>
      </c>
      <c r="P99" s="200">
        <v>0</v>
      </c>
      <c r="Q99" s="200">
        <v>0</v>
      </c>
      <c r="R99" s="200">
        <v>0</v>
      </c>
      <c r="S99" s="200">
        <v>0</v>
      </c>
      <c r="T99" s="200">
        <v>0</v>
      </c>
      <c r="U99" s="203">
        <f t="shared" si="22"/>
        <v>0</v>
      </c>
      <c r="V99" s="200">
        <v>0</v>
      </c>
      <c r="W99" s="200">
        <v>0</v>
      </c>
      <c r="X99" s="200">
        <v>0</v>
      </c>
      <c r="Y99" s="200">
        <v>0</v>
      </c>
      <c r="Z99" s="200">
        <v>0</v>
      </c>
      <c r="AA99" s="200">
        <v>0</v>
      </c>
      <c r="AB99" s="200">
        <v>0</v>
      </c>
      <c r="AC99" s="203">
        <f t="shared" si="23"/>
        <v>0</v>
      </c>
      <c r="AD99" s="200">
        <v>0</v>
      </c>
      <c r="AE99" s="200">
        <v>0</v>
      </c>
      <c r="AF99" s="200">
        <v>0</v>
      </c>
      <c r="AG99" s="200">
        <v>0</v>
      </c>
      <c r="AH99" s="203">
        <f t="shared" si="24"/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203">
        <f t="shared" si="25"/>
        <v>0</v>
      </c>
      <c r="AS99" s="203">
        <f t="shared" si="26"/>
        <v>0</v>
      </c>
      <c r="AT99" s="200">
        <v>0</v>
      </c>
      <c r="AU99" s="200">
        <v>0</v>
      </c>
      <c r="AV99" s="200">
        <v>0</v>
      </c>
      <c r="AW99" s="200">
        <v>0</v>
      </c>
      <c r="AX99" s="200">
        <v>0</v>
      </c>
      <c r="AY99" s="200">
        <v>0</v>
      </c>
      <c r="AZ99" s="203">
        <f t="shared" si="27"/>
        <v>0</v>
      </c>
      <c r="BA99" s="200">
        <v>0</v>
      </c>
      <c r="BB99" s="200">
        <v>0</v>
      </c>
      <c r="BC99" s="200">
        <v>0</v>
      </c>
      <c r="BD99" s="200">
        <v>0</v>
      </c>
      <c r="BE99" s="200">
        <v>0</v>
      </c>
      <c r="BF99" s="200">
        <v>0</v>
      </c>
      <c r="BG99" s="200">
        <v>0</v>
      </c>
      <c r="BH99" s="200">
        <v>0</v>
      </c>
      <c r="BI99" s="200">
        <v>0</v>
      </c>
      <c r="BJ99" s="203">
        <f t="shared" si="28"/>
        <v>0</v>
      </c>
      <c r="BK99" s="203">
        <f t="shared" si="29"/>
        <v>0</v>
      </c>
      <c r="BL99" s="203">
        <f>$BO$9+SUMPRODUCT($D$10:D99,$BK$10:BK99)</f>
        <v>8046522.2985823154</v>
      </c>
      <c r="BM99" s="202">
        <f t="shared" si="30"/>
        <v>5.85</v>
      </c>
      <c r="BN99" s="203">
        <f t="shared" si="33"/>
        <v>73690893.129720002</v>
      </c>
      <c r="BO99" s="204">
        <f t="shared" si="31"/>
        <v>1333364279.9626</v>
      </c>
      <c r="BP99" s="201">
        <f t="shared" si="34"/>
        <v>0</v>
      </c>
      <c r="BQ99" s="201">
        <f t="shared" si="35"/>
        <v>0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>
      <c r="A100" s="165">
        <f t="shared" si="37"/>
        <v>91</v>
      </c>
      <c r="B100" s="166">
        <f t="shared" si="37"/>
        <v>2110</v>
      </c>
      <c r="C100" s="29">
        <v>5.85</v>
      </c>
      <c r="D100" s="164">
        <f t="shared" si="36"/>
        <v>5.6699999999999997E-3</v>
      </c>
      <c r="E100" s="200">
        <v>0</v>
      </c>
      <c r="F100" s="203">
        <f t="shared" si="18"/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3">
        <f t="shared" si="21"/>
        <v>0</v>
      </c>
      <c r="N100" s="200">
        <v>0</v>
      </c>
      <c r="O100" s="200">
        <v>0</v>
      </c>
      <c r="P100" s="200">
        <v>0</v>
      </c>
      <c r="Q100" s="200">
        <v>0</v>
      </c>
      <c r="R100" s="200">
        <v>0</v>
      </c>
      <c r="S100" s="200">
        <v>0</v>
      </c>
      <c r="T100" s="200">
        <v>0</v>
      </c>
      <c r="U100" s="203">
        <f t="shared" si="22"/>
        <v>0</v>
      </c>
      <c r="V100" s="200">
        <v>0</v>
      </c>
      <c r="W100" s="200">
        <v>0</v>
      </c>
      <c r="X100" s="200">
        <v>0</v>
      </c>
      <c r="Y100" s="200">
        <v>0</v>
      </c>
      <c r="Z100" s="200">
        <v>0</v>
      </c>
      <c r="AA100" s="200">
        <v>0</v>
      </c>
      <c r="AB100" s="200">
        <v>0</v>
      </c>
      <c r="AC100" s="203">
        <f t="shared" si="23"/>
        <v>0</v>
      </c>
      <c r="AD100" s="200">
        <v>0</v>
      </c>
      <c r="AE100" s="200">
        <v>0</v>
      </c>
      <c r="AF100" s="200">
        <v>0</v>
      </c>
      <c r="AG100" s="200">
        <v>0</v>
      </c>
      <c r="AH100" s="203">
        <f t="shared" si="24"/>
        <v>0</v>
      </c>
      <c r="AI100" s="200">
        <v>0</v>
      </c>
      <c r="AJ100" s="200">
        <v>0</v>
      </c>
      <c r="AK100" s="200">
        <v>0</v>
      </c>
      <c r="AL100" s="200">
        <v>0</v>
      </c>
      <c r="AM100" s="200">
        <v>0</v>
      </c>
      <c r="AN100" s="200">
        <v>0</v>
      </c>
      <c r="AO100" s="200">
        <v>0</v>
      </c>
      <c r="AP100" s="200">
        <v>0</v>
      </c>
      <c r="AQ100" s="200">
        <v>0</v>
      </c>
      <c r="AR100" s="203">
        <f t="shared" si="25"/>
        <v>0</v>
      </c>
      <c r="AS100" s="203">
        <f t="shared" si="26"/>
        <v>0</v>
      </c>
      <c r="AT100" s="200">
        <v>0</v>
      </c>
      <c r="AU100" s="200">
        <v>0</v>
      </c>
      <c r="AV100" s="200">
        <v>0</v>
      </c>
      <c r="AW100" s="200">
        <v>0</v>
      </c>
      <c r="AX100" s="200">
        <v>0</v>
      </c>
      <c r="AY100" s="200">
        <v>0</v>
      </c>
      <c r="AZ100" s="203">
        <f t="shared" si="27"/>
        <v>0</v>
      </c>
      <c r="BA100" s="200">
        <v>0</v>
      </c>
      <c r="BB100" s="200">
        <v>0</v>
      </c>
      <c r="BC100" s="200">
        <v>0</v>
      </c>
      <c r="BD100" s="200">
        <v>0</v>
      </c>
      <c r="BE100" s="200">
        <v>0</v>
      </c>
      <c r="BF100" s="200">
        <v>0</v>
      </c>
      <c r="BG100" s="200">
        <v>0</v>
      </c>
      <c r="BH100" s="200">
        <v>0</v>
      </c>
      <c r="BI100" s="200">
        <v>0</v>
      </c>
      <c r="BJ100" s="203">
        <f t="shared" si="28"/>
        <v>0</v>
      </c>
      <c r="BK100" s="203">
        <f t="shared" si="29"/>
        <v>0</v>
      </c>
      <c r="BL100" s="203">
        <f>$BO$9+SUMPRODUCT($D$10:D100,$BK$10:BK100)</f>
        <v>8046522.2985823154</v>
      </c>
      <c r="BM100" s="202">
        <f t="shared" si="30"/>
        <v>5.85</v>
      </c>
      <c r="BN100" s="203">
        <f t="shared" si="33"/>
        <v>78001810.377810001</v>
      </c>
      <c r="BO100" s="204">
        <f t="shared" si="31"/>
        <v>1411366090.34041</v>
      </c>
      <c r="BP100" s="201">
        <f t="shared" si="34"/>
        <v>0</v>
      </c>
      <c r="BQ100" s="201">
        <f t="shared" si="35"/>
        <v>0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>
      <c r="A101" s="165">
        <f t="shared" si="37"/>
        <v>92</v>
      </c>
      <c r="B101" s="166">
        <f t="shared" si="37"/>
        <v>2111</v>
      </c>
      <c r="C101" s="29">
        <v>5.85</v>
      </c>
      <c r="D101" s="164">
        <f t="shared" si="36"/>
        <v>5.3600000000000002E-3</v>
      </c>
      <c r="E101" s="200">
        <v>0</v>
      </c>
      <c r="F101" s="203">
        <f t="shared" si="18"/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3">
        <f t="shared" si="21"/>
        <v>0</v>
      </c>
      <c r="N101" s="200">
        <v>0</v>
      </c>
      <c r="O101" s="200">
        <v>0</v>
      </c>
      <c r="P101" s="200">
        <v>0</v>
      </c>
      <c r="Q101" s="200">
        <v>0</v>
      </c>
      <c r="R101" s="200">
        <v>0</v>
      </c>
      <c r="S101" s="200">
        <v>0</v>
      </c>
      <c r="T101" s="200">
        <v>0</v>
      </c>
      <c r="U101" s="203">
        <f t="shared" si="22"/>
        <v>0</v>
      </c>
      <c r="V101" s="200">
        <v>0</v>
      </c>
      <c r="W101" s="200">
        <v>0</v>
      </c>
      <c r="X101" s="200">
        <v>0</v>
      </c>
      <c r="Y101" s="200">
        <v>0</v>
      </c>
      <c r="Z101" s="200">
        <v>0</v>
      </c>
      <c r="AA101" s="200">
        <v>0</v>
      </c>
      <c r="AB101" s="200">
        <v>0</v>
      </c>
      <c r="AC101" s="203">
        <f t="shared" si="23"/>
        <v>0</v>
      </c>
      <c r="AD101" s="200">
        <v>0</v>
      </c>
      <c r="AE101" s="200">
        <v>0</v>
      </c>
      <c r="AF101" s="200">
        <v>0</v>
      </c>
      <c r="AG101" s="200">
        <v>0</v>
      </c>
      <c r="AH101" s="203">
        <f t="shared" si="24"/>
        <v>0</v>
      </c>
      <c r="AI101" s="200">
        <v>0</v>
      </c>
      <c r="AJ101" s="200">
        <v>0</v>
      </c>
      <c r="AK101" s="200">
        <v>0</v>
      </c>
      <c r="AL101" s="200">
        <v>0</v>
      </c>
      <c r="AM101" s="200">
        <v>0</v>
      </c>
      <c r="AN101" s="200">
        <v>0</v>
      </c>
      <c r="AO101" s="200">
        <v>0</v>
      </c>
      <c r="AP101" s="200">
        <v>0</v>
      </c>
      <c r="AQ101" s="200">
        <v>0</v>
      </c>
      <c r="AR101" s="203">
        <f t="shared" si="25"/>
        <v>0</v>
      </c>
      <c r="AS101" s="203">
        <f t="shared" si="26"/>
        <v>0</v>
      </c>
      <c r="AT101" s="200">
        <v>0</v>
      </c>
      <c r="AU101" s="200">
        <v>0</v>
      </c>
      <c r="AV101" s="200">
        <v>0</v>
      </c>
      <c r="AW101" s="200">
        <v>0</v>
      </c>
      <c r="AX101" s="200">
        <v>0</v>
      </c>
      <c r="AY101" s="200">
        <v>0</v>
      </c>
      <c r="AZ101" s="203">
        <f t="shared" si="27"/>
        <v>0</v>
      </c>
      <c r="BA101" s="200">
        <v>0</v>
      </c>
      <c r="BB101" s="200">
        <v>0</v>
      </c>
      <c r="BC101" s="200">
        <v>0</v>
      </c>
      <c r="BD101" s="200">
        <v>0</v>
      </c>
      <c r="BE101" s="200">
        <v>0</v>
      </c>
      <c r="BF101" s="200">
        <v>0</v>
      </c>
      <c r="BG101" s="200">
        <v>0</v>
      </c>
      <c r="BH101" s="200">
        <v>0</v>
      </c>
      <c r="BI101" s="200">
        <v>0</v>
      </c>
      <c r="BJ101" s="203">
        <f t="shared" si="28"/>
        <v>0</v>
      </c>
      <c r="BK101" s="203">
        <f t="shared" si="29"/>
        <v>0</v>
      </c>
      <c r="BL101" s="203">
        <f>$BO$9+SUMPRODUCT($D$10:D101,$BK$10:BK101)</f>
        <v>8046522.2985823154</v>
      </c>
      <c r="BM101" s="202">
        <f t="shared" si="30"/>
        <v>5.85</v>
      </c>
      <c r="BN101" s="203">
        <f t="shared" si="33"/>
        <v>82564916.284909993</v>
      </c>
      <c r="BO101" s="204">
        <f t="shared" si="31"/>
        <v>1493931006.62532</v>
      </c>
      <c r="BP101" s="201">
        <f t="shared" si="34"/>
        <v>0</v>
      </c>
      <c r="BQ101" s="201">
        <f t="shared" si="35"/>
        <v>0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>
      <c r="A102" s="165">
        <f t="shared" si="37"/>
        <v>93</v>
      </c>
      <c r="B102" s="166">
        <f t="shared" si="37"/>
        <v>2112</v>
      </c>
      <c r="C102" s="29">
        <v>5.85</v>
      </c>
      <c r="D102" s="164">
        <f t="shared" si="36"/>
        <v>5.0600000000000003E-3</v>
      </c>
      <c r="E102" s="200">
        <v>0</v>
      </c>
      <c r="F102" s="203">
        <f t="shared" si="18"/>
        <v>0</v>
      </c>
      <c r="G102" s="200">
        <v>0</v>
      </c>
      <c r="H102" s="200">
        <v>0</v>
      </c>
      <c r="I102" s="200">
        <v>0</v>
      </c>
      <c r="J102" s="200">
        <v>0</v>
      </c>
      <c r="K102" s="200">
        <v>0</v>
      </c>
      <c r="L102" s="200">
        <v>0</v>
      </c>
      <c r="M102" s="203">
        <f t="shared" si="21"/>
        <v>0</v>
      </c>
      <c r="N102" s="200">
        <v>0</v>
      </c>
      <c r="O102" s="200">
        <v>0</v>
      </c>
      <c r="P102" s="200">
        <v>0</v>
      </c>
      <c r="Q102" s="200">
        <v>0</v>
      </c>
      <c r="R102" s="200">
        <v>0</v>
      </c>
      <c r="S102" s="200">
        <v>0</v>
      </c>
      <c r="T102" s="200">
        <v>0</v>
      </c>
      <c r="U102" s="203">
        <f t="shared" si="22"/>
        <v>0</v>
      </c>
      <c r="V102" s="200">
        <v>0</v>
      </c>
      <c r="W102" s="200">
        <v>0</v>
      </c>
      <c r="X102" s="200">
        <v>0</v>
      </c>
      <c r="Y102" s="200">
        <v>0</v>
      </c>
      <c r="Z102" s="200">
        <v>0</v>
      </c>
      <c r="AA102" s="200">
        <v>0</v>
      </c>
      <c r="AB102" s="200">
        <v>0</v>
      </c>
      <c r="AC102" s="203">
        <f t="shared" si="23"/>
        <v>0</v>
      </c>
      <c r="AD102" s="200">
        <v>0</v>
      </c>
      <c r="AE102" s="200">
        <v>0</v>
      </c>
      <c r="AF102" s="200">
        <v>0</v>
      </c>
      <c r="AG102" s="200">
        <v>0</v>
      </c>
      <c r="AH102" s="203">
        <f t="shared" si="24"/>
        <v>0</v>
      </c>
      <c r="AI102" s="200">
        <v>0</v>
      </c>
      <c r="AJ102" s="200">
        <v>0</v>
      </c>
      <c r="AK102" s="200">
        <v>0</v>
      </c>
      <c r="AL102" s="200">
        <v>0</v>
      </c>
      <c r="AM102" s="200">
        <v>0</v>
      </c>
      <c r="AN102" s="200">
        <v>0</v>
      </c>
      <c r="AO102" s="200">
        <v>0</v>
      </c>
      <c r="AP102" s="200">
        <v>0</v>
      </c>
      <c r="AQ102" s="200">
        <v>0</v>
      </c>
      <c r="AR102" s="203">
        <f t="shared" si="25"/>
        <v>0</v>
      </c>
      <c r="AS102" s="203">
        <f t="shared" si="26"/>
        <v>0</v>
      </c>
      <c r="AT102" s="200">
        <v>0</v>
      </c>
      <c r="AU102" s="200">
        <v>0</v>
      </c>
      <c r="AV102" s="200">
        <v>0</v>
      </c>
      <c r="AW102" s="200">
        <v>0</v>
      </c>
      <c r="AX102" s="200">
        <v>0</v>
      </c>
      <c r="AY102" s="200">
        <v>0</v>
      </c>
      <c r="AZ102" s="203">
        <f t="shared" si="27"/>
        <v>0</v>
      </c>
      <c r="BA102" s="200">
        <v>0</v>
      </c>
      <c r="BB102" s="200">
        <v>0</v>
      </c>
      <c r="BC102" s="200">
        <v>0</v>
      </c>
      <c r="BD102" s="200">
        <v>0</v>
      </c>
      <c r="BE102" s="200">
        <v>0</v>
      </c>
      <c r="BF102" s="200">
        <v>0</v>
      </c>
      <c r="BG102" s="200">
        <v>0</v>
      </c>
      <c r="BH102" s="200">
        <v>0</v>
      </c>
      <c r="BI102" s="200">
        <v>0</v>
      </c>
      <c r="BJ102" s="203">
        <f t="shared" si="28"/>
        <v>0</v>
      </c>
      <c r="BK102" s="203">
        <f t="shared" si="29"/>
        <v>0</v>
      </c>
      <c r="BL102" s="203">
        <f>$BO$9+SUMPRODUCT($D$10:D102,$BK$10:BK102)</f>
        <v>8046522.2985823154</v>
      </c>
      <c r="BM102" s="202">
        <f t="shared" si="30"/>
        <v>5.85</v>
      </c>
      <c r="BN102" s="203">
        <f t="shared" si="33"/>
        <v>87394963.887580007</v>
      </c>
      <c r="BO102" s="204">
        <f t="shared" si="31"/>
        <v>1581325970.5129001</v>
      </c>
      <c r="BP102" s="201">
        <f t="shared" si="34"/>
        <v>0</v>
      </c>
      <c r="BQ102" s="201">
        <f t="shared" si="35"/>
        <v>0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>
      <c r="A103" s="165">
        <f t="shared" si="37"/>
        <v>94</v>
      </c>
      <c r="B103" s="166">
        <f t="shared" si="37"/>
        <v>2113</v>
      </c>
      <c r="C103" s="29">
        <v>5.85</v>
      </c>
      <c r="D103" s="164">
        <f t="shared" si="36"/>
        <v>4.7800000000000004E-3</v>
      </c>
      <c r="E103" s="200">
        <v>0</v>
      </c>
      <c r="F103" s="203">
        <f t="shared" si="18"/>
        <v>0</v>
      </c>
      <c r="G103" s="200">
        <v>0</v>
      </c>
      <c r="H103" s="200">
        <v>0</v>
      </c>
      <c r="I103" s="200">
        <v>0</v>
      </c>
      <c r="J103" s="200">
        <v>0</v>
      </c>
      <c r="K103" s="200">
        <v>0</v>
      </c>
      <c r="L103" s="200">
        <v>0</v>
      </c>
      <c r="M103" s="203">
        <f t="shared" si="21"/>
        <v>0</v>
      </c>
      <c r="N103" s="200">
        <v>0</v>
      </c>
      <c r="O103" s="200">
        <v>0</v>
      </c>
      <c r="P103" s="200">
        <v>0</v>
      </c>
      <c r="Q103" s="200">
        <v>0</v>
      </c>
      <c r="R103" s="200">
        <v>0</v>
      </c>
      <c r="S103" s="200">
        <v>0</v>
      </c>
      <c r="T103" s="200">
        <v>0</v>
      </c>
      <c r="U103" s="203">
        <f t="shared" si="22"/>
        <v>0</v>
      </c>
      <c r="V103" s="200">
        <v>0</v>
      </c>
      <c r="W103" s="200">
        <v>0</v>
      </c>
      <c r="X103" s="200">
        <v>0</v>
      </c>
      <c r="Y103" s="200">
        <v>0</v>
      </c>
      <c r="Z103" s="200">
        <v>0</v>
      </c>
      <c r="AA103" s="200">
        <v>0</v>
      </c>
      <c r="AB103" s="200">
        <v>0</v>
      </c>
      <c r="AC103" s="203">
        <f t="shared" si="23"/>
        <v>0</v>
      </c>
      <c r="AD103" s="200">
        <v>0</v>
      </c>
      <c r="AE103" s="200">
        <v>0</v>
      </c>
      <c r="AF103" s="200">
        <v>0</v>
      </c>
      <c r="AG103" s="200">
        <v>0</v>
      </c>
      <c r="AH103" s="203">
        <f t="shared" si="24"/>
        <v>0</v>
      </c>
      <c r="AI103" s="200">
        <v>0</v>
      </c>
      <c r="AJ103" s="200">
        <v>0</v>
      </c>
      <c r="AK103" s="200">
        <v>0</v>
      </c>
      <c r="AL103" s="200">
        <v>0</v>
      </c>
      <c r="AM103" s="200">
        <v>0</v>
      </c>
      <c r="AN103" s="200">
        <v>0</v>
      </c>
      <c r="AO103" s="200">
        <v>0</v>
      </c>
      <c r="AP103" s="200">
        <v>0</v>
      </c>
      <c r="AQ103" s="200">
        <v>0</v>
      </c>
      <c r="AR103" s="203">
        <f t="shared" si="25"/>
        <v>0</v>
      </c>
      <c r="AS103" s="203">
        <f t="shared" si="26"/>
        <v>0</v>
      </c>
      <c r="AT103" s="200">
        <v>0</v>
      </c>
      <c r="AU103" s="200">
        <v>0</v>
      </c>
      <c r="AV103" s="200">
        <v>0</v>
      </c>
      <c r="AW103" s="200">
        <v>0</v>
      </c>
      <c r="AX103" s="200">
        <v>0</v>
      </c>
      <c r="AY103" s="200">
        <v>0</v>
      </c>
      <c r="AZ103" s="203">
        <f t="shared" si="27"/>
        <v>0</v>
      </c>
      <c r="BA103" s="200">
        <v>0</v>
      </c>
      <c r="BB103" s="200">
        <v>0</v>
      </c>
      <c r="BC103" s="200">
        <v>0</v>
      </c>
      <c r="BD103" s="200">
        <v>0</v>
      </c>
      <c r="BE103" s="200">
        <v>0</v>
      </c>
      <c r="BF103" s="200">
        <v>0</v>
      </c>
      <c r="BG103" s="200">
        <v>0</v>
      </c>
      <c r="BH103" s="200">
        <v>0</v>
      </c>
      <c r="BI103" s="200">
        <v>0</v>
      </c>
      <c r="BJ103" s="203">
        <f t="shared" si="28"/>
        <v>0</v>
      </c>
      <c r="BK103" s="203">
        <f t="shared" si="29"/>
        <v>0</v>
      </c>
      <c r="BL103" s="203">
        <f>$BO$9+SUMPRODUCT($D$10:D103,$BK$10:BK103)</f>
        <v>8046522.2985823154</v>
      </c>
      <c r="BM103" s="202">
        <f t="shared" si="30"/>
        <v>5.85</v>
      </c>
      <c r="BN103" s="203">
        <f t="shared" si="33"/>
        <v>92507569.275000006</v>
      </c>
      <c r="BO103" s="204">
        <f t="shared" si="31"/>
        <v>1673833539.7879</v>
      </c>
      <c r="BP103" s="201">
        <f t="shared" si="34"/>
        <v>0</v>
      </c>
      <c r="BQ103" s="201">
        <f t="shared" si="35"/>
        <v>0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>
      <c r="A104" s="165">
        <f t="shared" si="37"/>
        <v>95</v>
      </c>
      <c r="B104" s="166">
        <f t="shared" si="37"/>
        <v>2114</v>
      </c>
      <c r="C104" s="29">
        <v>5.85</v>
      </c>
      <c r="D104" s="164">
        <f t="shared" si="36"/>
        <v>4.5199999999999997E-3</v>
      </c>
      <c r="E104" s="200">
        <v>0</v>
      </c>
      <c r="F104" s="203">
        <f t="shared" si="18"/>
        <v>0</v>
      </c>
      <c r="G104" s="200">
        <v>0</v>
      </c>
      <c r="H104" s="200">
        <v>0</v>
      </c>
      <c r="I104" s="200">
        <v>0</v>
      </c>
      <c r="J104" s="200">
        <v>0</v>
      </c>
      <c r="K104" s="200">
        <v>0</v>
      </c>
      <c r="L104" s="200">
        <v>0</v>
      </c>
      <c r="M104" s="203">
        <f t="shared" si="21"/>
        <v>0</v>
      </c>
      <c r="N104" s="200">
        <v>0</v>
      </c>
      <c r="O104" s="200">
        <v>0</v>
      </c>
      <c r="P104" s="200">
        <v>0</v>
      </c>
      <c r="Q104" s="200">
        <v>0</v>
      </c>
      <c r="R104" s="200">
        <v>0</v>
      </c>
      <c r="S104" s="200">
        <v>0</v>
      </c>
      <c r="T104" s="200">
        <v>0</v>
      </c>
      <c r="U104" s="203">
        <f t="shared" si="22"/>
        <v>0</v>
      </c>
      <c r="V104" s="200">
        <v>0</v>
      </c>
      <c r="W104" s="200">
        <v>0</v>
      </c>
      <c r="X104" s="200">
        <v>0</v>
      </c>
      <c r="Y104" s="200">
        <v>0</v>
      </c>
      <c r="Z104" s="200">
        <v>0</v>
      </c>
      <c r="AA104" s="200">
        <v>0</v>
      </c>
      <c r="AB104" s="200">
        <v>0</v>
      </c>
      <c r="AC104" s="203">
        <f t="shared" si="23"/>
        <v>0</v>
      </c>
      <c r="AD104" s="200">
        <v>0</v>
      </c>
      <c r="AE104" s="200">
        <v>0</v>
      </c>
      <c r="AF104" s="200">
        <v>0</v>
      </c>
      <c r="AG104" s="200">
        <v>0</v>
      </c>
      <c r="AH104" s="203">
        <f t="shared" si="24"/>
        <v>0</v>
      </c>
      <c r="AI104" s="200">
        <v>0</v>
      </c>
      <c r="AJ104" s="200">
        <v>0</v>
      </c>
      <c r="AK104" s="200">
        <v>0</v>
      </c>
      <c r="AL104" s="200">
        <v>0</v>
      </c>
      <c r="AM104" s="200">
        <v>0</v>
      </c>
      <c r="AN104" s="200">
        <v>0</v>
      </c>
      <c r="AO104" s="200">
        <v>0</v>
      </c>
      <c r="AP104" s="200">
        <v>0</v>
      </c>
      <c r="AQ104" s="200">
        <v>0</v>
      </c>
      <c r="AR104" s="203">
        <f t="shared" si="25"/>
        <v>0</v>
      </c>
      <c r="AS104" s="203">
        <f t="shared" si="26"/>
        <v>0</v>
      </c>
      <c r="AT104" s="200">
        <v>0</v>
      </c>
      <c r="AU104" s="200">
        <v>0</v>
      </c>
      <c r="AV104" s="200">
        <v>0</v>
      </c>
      <c r="AW104" s="200">
        <v>0</v>
      </c>
      <c r="AX104" s="200">
        <v>0</v>
      </c>
      <c r="AY104" s="200">
        <v>0</v>
      </c>
      <c r="AZ104" s="203">
        <f t="shared" si="27"/>
        <v>0</v>
      </c>
      <c r="BA104" s="200">
        <v>0</v>
      </c>
      <c r="BB104" s="200">
        <v>0</v>
      </c>
      <c r="BC104" s="200">
        <v>0</v>
      </c>
      <c r="BD104" s="200">
        <v>0</v>
      </c>
      <c r="BE104" s="200">
        <v>0</v>
      </c>
      <c r="BF104" s="200">
        <v>0</v>
      </c>
      <c r="BG104" s="200">
        <v>0</v>
      </c>
      <c r="BH104" s="200">
        <v>0</v>
      </c>
      <c r="BI104" s="200">
        <v>0</v>
      </c>
      <c r="BJ104" s="203">
        <f t="shared" si="28"/>
        <v>0</v>
      </c>
      <c r="BK104" s="203">
        <f t="shared" si="29"/>
        <v>0</v>
      </c>
      <c r="BL104" s="203">
        <f>$BO$9+SUMPRODUCT($D$10:D104,$BK$10:BK104)</f>
        <v>8046522.2985823154</v>
      </c>
      <c r="BM104" s="202">
        <f t="shared" si="30"/>
        <v>5.85</v>
      </c>
      <c r="BN104" s="203">
        <f t="shared" si="33"/>
        <v>97919262.077590004</v>
      </c>
      <c r="BO104" s="204">
        <f t="shared" si="31"/>
        <v>1771752801.86549</v>
      </c>
      <c r="BP104" s="201">
        <f t="shared" si="34"/>
        <v>0</v>
      </c>
      <c r="BQ104" s="201">
        <f t="shared" si="35"/>
        <v>0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>
      <c r="A105" s="165">
        <f t="shared" si="37"/>
        <v>96</v>
      </c>
      <c r="B105" s="166">
        <f t="shared" si="37"/>
        <v>2115</v>
      </c>
      <c r="C105" s="29">
        <v>5.85</v>
      </c>
      <c r="D105" s="164">
        <f t="shared" si="36"/>
        <v>4.2700000000000004E-3</v>
      </c>
      <c r="E105" s="200">
        <v>0</v>
      </c>
      <c r="F105" s="203">
        <f t="shared" si="18"/>
        <v>0</v>
      </c>
      <c r="G105" s="200">
        <v>0</v>
      </c>
      <c r="H105" s="200">
        <v>0</v>
      </c>
      <c r="I105" s="200">
        <v>0</v>
      </c>
      <c r="J105" s="200">
        <v>0</v>
      </c>
      <c r="K105" s="200">
        <v>0</v>
      </c>
      <c r="L105" s="200">
        <v>0</v>
      </c>
      <c r="M105" s="203">
        <f t="shared" si="21"/>
        <v>0</v>
      </c>
      <c r="N105" s="200">
        <v>0</v>
      </c>
      <c r="O105" s="200">
        <v>0</v>
      </c>
      <c r="P105" s="200">
        <v>0</v>
      </c>
      <c r="Q105" s="200">
        <v>0</v>
      </c>
      <c r="R105" s="200">
        <v>0</v>
      </c>
      <c r="S105" s="200">
        <v>0</v>
      </c>
      <c r="T105" s="200">
        <v>0</v>
      </c>
      <c r="U105" s="203">
        <f t="shared" si="22"/>
        <v>0</v>
      </c>
      <c r="V105" s="200">
        <v>0</v>
      </c>
      <c r="W105" s="200">
        <v>0</v>
      </c>
      <c r="X105" s="200">
        <v>0</v>
      </c>
      <c r="Y105" s="200">
        <v>0</v>
      </c>
      <c r="Z105" s="200">
        <v>0</v>
      </c>
      <c r="AA105" s="200">
        <v>0</v>
      </c>
      <c r="AB105" s="200">
        <v>0</v>
      </c>
      <c r="AC105" s="203">
        <f t="shared" si="23"/>
        <v>0</v>
      </c>
      <c r="AD105" s="200">
        <v>0</v>
      </c>
      <c r="AE105" s="200">
        <v>0</v>
      </c>
      <c r="AF105" s="200">
        <v>0</v>
      </c>
      <c r="AG105" s="200">
        <v>0</v>
      </c>
      <c r="AH105" s="203">
        <f t="shared" si="24"/>
        <v>0</v>
      </c>
      <c r="AI105" s="200">
        <v>0</v>
      </c>
      <c r="AJ105" s="200">
        <v>0</v>
      </c>
      <c r="AK105" s="200">
        <v>0</v>
      </c>
      <c r="AL105" s="200">
        <v>0</v>
      </c>
      <c r="AM105" s="200">
        <v>0</v>
      </c>
      <c r="AN105" s="200">
        <v>0</v>
      </c>
      <c r="AO105" s="200">
        <v>0</v>
      </c>
      <c r="AP105" s="200">
        <v>0</v>
      </c>
      <c r="AQ105" s="200">
        <v>0</v>
      </c>
      <c r="AR105" s="203">
        <f t="shared" si="25"/>
        <v>0</v>
      </c>
      <c r="AS105" s="203">
        <f t="shared" si="26"/>
        <v>0</v>
      </c>
      <c r="AT105" s="200">
        <v>0</v>
      </c>
      <c r="AU105" s="200">
        <v>0</v>
      </c>
      <c r="AV105" s="200">
        <v>0</v>
      </c>
      <c r="AW105" s="200">
        <v>0</v>
      </c>
      <c r="AX105" s="200">
        <v>0</v>
      </c>
      <c r="AY105" s="200">
        <v>0</v>
      </c>
      <c r="AZ105" s="203">
        <f t="shared" si="27"/>
        <v>0</v>
      </c>
      <c r="BA105" s="200">
        <v>0</v>
      </c>
      <c r="BB105" s="200">
        <v>0</v>
      </c>
      <c r="BC105" s="200">
        <v>0</v>
      </c>
      <c r="BD105" s="200">
        <v>0</v>
      </c>
      <c r="BE105" s="200">
        <v>0</v>
      </c>
      <c r="BF105" s="200">
        <v>0</v>
      </c>
      <c r="BG105" s="200">
        <v>0</v>
      </c>
      <c r="BH105" s="200">
        <v>0</v>
      </c>
      <c r="BI105" s="200">
        <v>0</v>
      </c>
      <c r="BJ105" s="203">
        <f t="shared" si="28"/>
        <v>0</v>
      </c>
      <c r="BK105" s="203">
        <f t="shared" si="29"/>
        <v>0</v>
      </c>
      <c r="BL105" s="203">
        <f>$BO$9+SUMPRODUCT($D$10:D105,$BK$10:BK105)</f>
        <v>8046522.2985823154</v>
      </c>
      <c r="BM105" s="202">
        <f t="shared" si="30"/>
        <v>5.85</v>
      </c>
      <c r="BN105" s="203">
        <f t="shared" si="33"/>
        <v>103647538.90913001</v>
      </c>
      <c r="BO105" s="204">
        <f t="shared" si="31"/>
        <v>1875400340.7746201</v>
      </c>
      <c r="BP105" s="201">
        <f t="shared" si="34"/>
        <v>0</v>
      </c>
      <c r="BQ105" s="201">
        <f t="shared" si="35"/>
        <v>0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>
      <c r="A106" s="165">
        <f t="shared" si="37"/>
        <v>97</v>
      </c>
      <c r="B106" s="166">
        <f t="shared" si="37"/>
        <v>2116</v>
      </c>
      <c r="C106" s="29">
        <v>5.85</v>
      </c>
      <c r="D106" s="164">
        <f t="shared" si="36"/>
        <v>4.0299999999999997E-3</v>
      </c>
      <c r="E106" s="200">
        <v>0</v>
      </c>
      <c r="F106" s="203">
        <f t="shared" ref="F106:F159" si="38">ROUND(SUM(G106:J106),5)</f>
        <v>0</v>
      </c>
      <c r="G106" s="200">
        <v>0</v>
      </c>
      <c r="H106" s="200">
        <v>0</v>
      </c>
      <c r="I106" s="200">
        <v>0</v>
      </c>
      <c r="J106" s="200">
        <v>0</v>
      </c>
      <c r="K106" s="200">
        <v>0</v>
      </c>
      <c r="L106" s="200">
        <v>0</v>
      </c>
      <c r="M106" s="203">
        <f t="shared" si="21"/>
        <v>0</v>
      </c>
      <c r="N106" s="200">
        <v>0</v>
      </c>
      <c r="O106" s="200">
        <v>0</v>
      </c>
      <c r="P106" s="200">
        <v>0</v>
      </c>
      <c r="Q106" s="200">
        <v>0</v>
      </c>
      <c r="R106" s="200">
        <v>0</v>
      </c>
      <c r="S106" s="200">
        <v>0</v>
      </c>
      <c r="T106" s="200">
        <v>0</v>
      </c>
      <c r="U106" s="203">
        <f t="shared" si="22"/>
        <v>0</v>
      </c>
      <c r="V106" s="200">
        <v>0</v>
      </c>
      <c r="W106" s="200">
        <v>0</v>
      </c>
      <c r="X106" s="200">
        <v>0</v>
      </c>
      <c r="Y106" s="200">
        <v>0</v>
      </c>
      <c r="Z106" s="200">
        <v>0</v>
      </c>
      <c r="AA106" s="200">
        <v>0</v>
      </c>
      <c r="AB106" s="200">
        <v>0</v>
      </c>
      <c r="AC106" s="203">
        <f t="shared" si="23"/>
        <v>0</v>
      </c>
      <c r="AD106" s="200">
        <v>0</v>
      </c>
      <c r="AE106" s="200">
        <v>0</v>
      </c>
      <c r="AF106" s="200">
        <v>0</v>
      </c>
      <c r="AG106" s="200">
        <v>0</v>
      </c>
      <c r="AH106" s="203">
        <f t="shared" si="24"/>
        <v>0</v>
      </c>
      <c r="AI106" s="200">
        <v>0</v>
      </c>
      <c r="AJ106" s="200">
        <v>0</v>
      </c>
      <c r="AK106" s="200">
        <v>0</v>
      </c>
      <c r="AL106" s="200">
        <v>0</v>
      </c>
      <c r="AM106" s="200">
        <v>0</v>
      </c>
      <c r="AN106" s="200">
        <v>0</v>
      </c>
      <c r="AO106" s="200">
        <v>0</v>
      </c>
      <c r="AP106" s="200">
        <v>0</v>
      </c>
      <c r="AQ106" s="200">
        <v>0</v>
      </c>
      <c r="AR106" s="203">
        <f t="shared" si="25"/>
        <v>0</v>
      </c>
      <c r="AS106" s="203">
        <f t="shared" si="26"/>
        <v>0</v>
      </c>
      <c r="AT106" s="200">
        <v>0</v>
      </c>
      <c r="AU106" s="200">
        <v>0</v>
      </c>
      <c r="AV106" s="200">
        <v>0</v>
      </c>
      <c r="AW106" s="200">
        <v>0</v>
      </c>
      <c r="AX106" s="200">
        <v>0</v>
      </c>
      <c r="AY106" s="200">
        <v>0</v>
      </c>
      <c r="AZ106" s="203">
        <f t="shared" si="27"/>
        <v>0</v>
      </c>
      <c r="BA106" s="200">
        <v>0</v>
      </c>
      <c r="BB106" s="200">
        <v>0</v>
      </c>
      <c r="BC106" s="200">
        <v>0</v>
      </c>
      <c r="BD106" s="200">
        <v>0</v>
      </c>
      <c r="BE106" s="200">
        <v>0</v>
      </c>
      <c r="BF106" s="200">
        <v>0</v>
      </c>
      <c r="BG106" s="200">
        <v>0</v>
      </c>
      <c r="BH106" s="200">
        <v>0</v>
      </c>
      <c r="BI106" s="200">
        <v>0</v>
      </c>
      <c r="BJ106" s="203">
        <f t="shared" si="28"/>
        <v>0</v>
      </c>
      <c r="BK106" s="203">
        <f t="shared" si="29"/>
        <v>0</v>
      </c>
      <c r="BL106" s="203">
        <f>$BO$9+SUMPRODUCT($D$10:D106,$BK$10:BK106)</f>
        <v>8046522.2985823154</v>
      </c>
      <c r="BM106" s="202">
        <f t="shared" si="30"/>
        <v>5.85</v>
      </c>
      <c r="BN106" s="203">
        <f t="shared" si="33"/>
        <v>109710919.93532</v>
      </c>
      <c r="BO106" s="204">
        <f t="shared" si="31"/>
        <v>1985111260.70994</v>
      </c>
      <c r="BP106" s="201">
        <f t="shared" si="34"/>
        <v>0</v>
      </c>
      <c r="BQ106" s="201">
        <f t="shared" si="35"/>
        <v>0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>
      <c r="A107" s="165">
        <f t="shared" ref="A107:B122" si="39">A106+1</f>
        <v>98</v>
      </c>
      <c r="B107" s="166">
        <f t="shared" si="39"/>
        <v>2117</v>
      </c>
      <c r="C107" s="29">
        <v>5.85</v>
      </c>
      <c r="D107" s="164">
        <f t="shared" si="36"/>
        <v>3.81E-3</v>
      </c>
      <c r="E107" s="200">
        <v>0</v>
      </c>
      <c r="F107" s="203">
        <f t="shared" si="38"/>
        <v>0</v>
      </c>
      <c r="G107" s="200">
        <v>0</v>
      </c>
      <c r="H107" s="200">
        <v>0</v>
      </c>
      <c r="I107" s="200">
        <v>0</v>
      </c>
      <c r="J107" s="200">
        <v>0</v>
      </c>
      <c r="K107" s="200">
        <v>0</v>
      </c>
      <c r="L107" s="200">
        <v>0</v>
      </c>
      <c r="M107" s="203">
        <f t="shared" si="21"/>
        <v>0</v>
      </c>
      <c r="N107" s="200">
        <v>0</v>
      </c>
      <c r="O107" s="200">
        <v>0</v>
      </c>
      <c r="P107" s="200">
        <v>0</v>
      </c>
      <c r="Q107" s="200">
        <v>0</v>
      </c>
      <c r="R107" s="200">
        <v>0</v>
      </c>
      <c r="S107" s="200">
        <v>0</v>
      </c>
      <c r="T107" s="200">
        <v>0</v>
      </c>
      <c r="U107" s="203">
        <f t="shared" si="22"/>
        <v>0</v>
      </c>
      <c r="V107" s="200">
        <v>0</v>
      </c>
      <c r="W107" s="200">
        <v>0</v>
      </c>
      <c r="X107" s="200">
        <v>0</v>
      </c>
      <c r="Y107" s="200">
        <v>0</v>
      </c>
      <c r="Z107" s="200">
        <v>0</v>
      </c>
      <c r="AA107" s="200">
        <v>0</v>
      </c>
      <c r="AB107" s="200">
        <v>0</v>
      </c>
      <c r="AC107" s="203">
        <f t="shared" si="23"/>
        <v>0</v>
      </c>
      <c r="AD107" s="200">
        <v>0</v>
      </c>
      <c r="AE107" s="200">
        <v>0</v>
      </c>
      <c r="AF107" s="200">
        <v>0</v>
      </c>
      <c r="AG107" s="200">
        <v>0</v>
      </c>
      <c r="AH107" s="203">
        <f t="shared" si="24"/>
        <v>0</v>
      </c>
      <c r="AI107" s="200">
        <v>0</v>
      </c>
      <c r="AJ107" s="200">
        <v>0</v>
      </c>
      <c r="AK107" s="200">
        <v>0</v>
      </c>
      <c r="AL107" s="200">
        <v>0</v>
      </c>
      <c r="AM107" s="200">
        <v>0</v>
      </c>
      <c r="AN107" s="200">
        <v>0</v>
      </c>
      <c r="AO107" s="200">
        <v>0</v>
      </c>
      <c r="AP107" s="200">
        <v>0</v>
      </c>
      <c r="AQ107" s="200">
        <v>0</v>
      </c>
      <c r="AR107" s="203">
        <f t="shared" si="25"/>
        <v>0</v>
      </c>
      <c r="AS107" s="203">
        <f t="shared" si="26"/>
        <v>0</v>
      </c>
      <c r="AT107" s="200">
        <v>0</v>
      </c>
      <c r="AU107" s="200">
        <v>0</v>
      </c>
      <c r="AV107" s="200">
        <v>0</v>
      </c>
      <c r="AW107" s="200">
        <v>0</v>
      </c>
      <c r="AX107" s="200">
        <v>0</v>
      </c>
      <c r="AY107" s="200">
        <v>0</v>
      </c>
      <c r="AZ107" s="203">
        <f t="shared" si="27"/>
        <v>0</v>
      </c>
      <c r="BA107" s="200">
        <v>0</v>
      </c>
      <c r="BB107" s="200">
        <v>0</v>
      </c>
      <c r="BC107" s="200">
        <v>0</v>
      </c>
      <c r="BD107" s="200">
        <v>0</v>
      </c>
      <c r="BE107" s="200">
        <v>0</v>
      </c>
      <c r="BF107" s="200">
        <v>0</v>
      </c>
      <c r="BG107" s="200">
        <v>0</v>
      </c>
      <c r="BH107" s="200">
        <v>0</v>
      </c>
      <c r="BI107" s="200">
        <v>0</v>
      </c>
      <c r="BJ107" s="203">
        <f t="shared" si="28"/>
        <v>0</v>
      </c>
      <c r="BK107" s="203">
        <f t="shared" si="29"/>
        <v>0</v>
      </c>
      <c r="BL107" s="203">
        <f>$BO$9+SUMPRODUCT($D$10:D107,$BK$10:BK107)</f>
        <v>8046522.2985823154</v>
      </c>
      <c r="BM107" s="202">
        <f t="shared" si="30"/>
        <v>5.85</v>
      </c>
      <c r="BN107" s="203">
        <f t="shared" si="33"/>
        <v>116129008.75153001</v>
      </c>
      <c r="BO107" s="204">
        <f t="shared" si="31"/>
        <v>2101240269.4614699</v>
      </c>
      <c r="BP107" s="201">
        <f t="shared" si="34"/>
        <v>0</v>
      </c>
      <c r="BQ107" s="201">
        <f t="shared" si="35"/>
        <v>0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>
      <c r="A108" s="165">
        <f t="shared" si="39"/>
        <v>99</v>
      </c>
      <c r="B108" s="166">
        <f t="shared" si="39"/>
        <v>2118</v>
      </c>
      <c r="C108" s="29">
        <v>5.85</v>
      </c>
      <c r="D108" s="164">
        <f t="shared" si="36"/>
        <v>3.5999999999999999E-3</v>
      </c>
      <c r="E108" s="200">
        <v>0</v>
      </c>
      <c r="F108" s="203">
        <f t="shared" si="38"/>
        <v>0</v>
      </c>
      <c r="G108" s="200">
        <v>0</v>
      </c>
      <c r="H108" s="200">
        <v>0</v>
      </c>
      <c r="I108" s="200">
        <v>0</v>
      </c>
      <c r="J108" s="200">
        <v>0</v>
      </c>
      <c r="K108" s="200">
        <v>0</v>
      </c>
      <c r="L108" s="200">
        <v>0</v>
      </c>
      <c r="M108" s="203">
        <f t="shared" si="21"/>
        <v>0</v>
      </c>
      <c r="N108" s="200">
        <v>0</v>
      </c>
      <c r="O108" s="200">
        <v>0</v>
      </c>
      <c r="P108" s="200">
        <v>0</v>
      </c>
      <c r="Q108" s="200">
        <v>0</v>
      </c>
      <c r="R108" s="200">
        <v>0</v>
      </c>
      <c r="S108" s="200">
        <v>0</v>
      </c>
      <c r="T108" s="200">
        <v>0</v>
      </c>
      <c r="U108" s="203">
        <f t="shared" si="22"/>
        <v>0</v>
      </c>
      <c r="V108" s="200">
        <v>0</v>
      </c>
      <c r="W108" s="200">
        <v>0</v>
      </c>
      <c r="X108" s="200">
        <v>0</v>
      </c>
      <c r="Y108" s="200">
        <v>0</v>
      </c>
      <c r="Z108" s="200">
        <v>0</v>
      </c>
      <c r="AA108" s="200">
        <v>0</v>
      </c>
      <c r="AB108" s="200">
        <v>0</v>
      </c>
      <c r="AC108" s="203">
        <f t="shared" si="23"/>
        <v>0</v>
      </c>
      <c r="AD108" s="200">
        <v>0</v>
      </c>
      <c r="AE108" s="200">
        <v>0</v>
      </c>
      <c r="AF108" s="200">
        <v>0</v>
      </c>
      <c r="AG108" s="200">
        <v>0</v>
      </c>
      <c r="AH108" s="203">
        <f t="shared" si="24"/>
        <v>0</v>
      </c>
      <c r="AI108" s="200">
        <v>0</v>
      </c>
      <c r="AJ108" s="200">
        <v>0</v>
      </c>
      <c r="AK108" s="200">
        <v>0</v>
      </c>
      <c r="AL108" s="200">
        <v>0</v>
      </c>
      <c r="AM108" s="200">
        <v>0</v>
      </c>
      <c r="AN108" s="200">
        <v>0</v>
      </c>
      <c r="AO108" s="200">
        <v>0</v>
      </c>
      <c r="AP108" s="200">
        <v>0</v>
      </c>
      <c r="AQ108" s="200">
        <v>0</v>
      </c>
      <c r="AR108" s="203">
        <f t="shared" si="25"/>
        <v>0</v>
      </c>
      <c r="AS108" s="203">
        <f t="shared" si="26"/>
        <v>0</v>
      </c>
      <c r="AT108" s="200">
        <v>0</v>
      </c>
      <c r="AU108" s="200">
        <v>0</v>
      </c>
      <c r="AV108" s="200">
        <v>0</v>
      </c>
      <c r="AW108" s="200">
        <v>0</v>
      </c>
      <c r="AX108" s="200">
        <v>0</v>
      </c>
      <c r="AY108" s="200">
        <v>0</v>
      </c>
      <c r="AZ108" s="203">
        <f t="shared" si="27"/>
        <v>0</v>
      </c>
      <c r="BA108" s="200">
        <v>0</v>
      </c>
      <c r="BB108" s="200">
        <v>0</v>
      </c>
      <c r="BC108" s="200">
        <v>0</v>
      </c>
      <c r="BD108" s="200">
        <v>0</v>
      </c>
      <c r="BE108" s="200">
        <v>0</v>
      </c>
      <c r="BF108" s="200">
        <v>0</v>
      </c>
      <c r="BG108" s="200">
        <v>0</v>
      </c>
      <c r="BH108" s="200">
        <v>0</v>
      </c>
      <c r="BI108" s="200">
        <v>0</v>
      </c>
      <c r="BJ108" s="203">
        <f t="shared" si="28"/>
        <v>0</v>
      </c>
      <c r="BK108" s="203">
        <f t="shared" si="29"/>
        <v>0</v>
      </c>
      <c r="BL108" s="203">
        <f>$BO$9+SUMPRODUCT($D$10:D108,$BK$10:BK108)</f>
        <v>8046522.2985823154</v>
      </c>
      <c r="BM108" s="202">
        <f t="shared" si="30"/>
        <v>5.85</v>
      </c>
      <c r="BN108" s="203">
        <f t="shared" si="33"/>
        <v>122922555.76350001</v>
      </c>
      <c r="BO108" s="204">
        <f t="shared" si="31"/>
        <v>2224162825.2249699</v>
      </c>
      <c r="BP108" s="201">
        <f t="shared" si="34"/>
        <v>0</v>
      </c>
      <c r="BQ108" s="201">
        <f t="shared" si="35"/>
        <v>0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>
      <c r="A109" s="165">
        <f t="shared" si="39"/>
        <v>100</v>
      </c>
      <c r="B109" s="166">
        <f t="shared" si="39"/>
        <v>2119</v>
      </c>
      <c r="C109" s="29">
        <v>5.85</v>
      </c>
      <c r="D109" s="164">
        <f t="shared" si="36"/>
        <v>3.3999999999999998E-3</v>
      </c>
      <c r="E109" s="200">
        <v>0</v>
      </c>
      <c r="F109" s="203">
        <f t="shared" si="38"/>
        <v>0</v>
      </c>
      <c r="G109" s="200">
        <v>0</v>
      </c>
      <c r="H109" s="200">
        <v>0</v>
      </c>
      <c r="I109" s="200">
        <v>0</v>
      </c>
      <c r="J109" s="200">
        <v>0</v>
      </c>
      <c r="K109" s="200">
        <v>0</v>
      </c>
      <c r="L109" s="200">
        <v>0</v>
      </c>
      <c r="M109" s="203">
        <f t="shared" si="21"/>
        <v>0</v>
      </c>
      <c r="N109" s="200">
        <v>0</v>
      </c>
      <c r="O109" s="200">
        <v>0</v>
      </c>
      <c r="P109" s="200">
        <v>0</v>
      </c>
      <c r="Q109" s="200">
        <v>0</v>
      </c>
      <c r="R109" s="200">
        <v>0</v>
      </c>
      <c r="S109" s="200">
        <v>0</v>
      </c>
      <c r="T109" s="200">
        <v>0</v>
      </c>
      <c r="U109" s="203">
        <f t="shared" si="22"/>
        <v>0</v>
      </c>
      <c r="V109" s="200">
        <v>0</v>
      </c>
      <c r="W109" s="200">
        <v>0</v>
      </c>
      <c r="X109" s="200">
        <v>0</v>
      </c>
      <c r="Y109" s="200">
        <v>0</v>
      </c>
      <c r="Z109" s="200">
        <v>0</v>
      </c>
      <c r="AA109" s="200">
        <v>0</v>
      </c>
      <c r="AB109" s="200">
        <v>0</v>
      </c>
      <c r="AC109" s="203">
        <f t="shared" si="23"/>
        <v>0</v>
      </c>
      <c r="AD109" s="200">
        <v>0</v>
      </c>
      <c r="AE109" s="200">
        <v>0</v>
      </c>
      <c r="AF109" s="200">
        <v>0</v>
      </c>
      <c r="AG109" s="200">
        <v>0</v>
      </c>
      <c r="AH109" s="203">
        <f t="shared" si="24"/>
        <v>0</v>
      </c>
      <c r="AI109" s="200">
        <v>0</v>
      </c>
      <c r="AJ109" s="200">
        <v>0</v>
      </c>
      <c r="AK109" s="200">
        <v>0</v>
      </c>
      <c r="AL109" s="200">
        <v>0</v>
      </c>
      <c r="AM109" s="200">
        <v>0</v>
      </c>
      <c r="AN109" s="200">
        <v>0</v>
      </c>
      <c r="AO109" s="200">
        <v>0</v>
      </c>
      <c r="AP109" s="200">
        <v>0</v>
      </c>
      <c r="AQ109" s="200">
        <v>0</v>
      </c>
      <c r="AR109" s="203">
        <f t="shared" si="25"/>
        <v>0</v>
      </c>
      <c r="AS109" s="203">
        <f t="shared" si="26"/>
        <v>0</v>
      </c>
      <c r="AT109" s="200">
        <v>0</v>
      </c>
      <c r="AU109" s="200">
        <v>0</v>
      </c>
      <c r="AV109" s="200">
        <v>0</v>
      </c>
      <c r="AW109" s="200">
        <v>0</v>
      </c>
      <c r="AX109" s="200">
        <v>0</v>
      </c>
      <c r="AY109" s="200">
        <v>0</v>
      </c>
      <c r="AZ109" s="203">
        <f t="shared" si="27"/>
        <v>0</v>
      </c>
      <c r="BA109" s="200">
        <v>0</v>
      </c>
      <c r="BB109" s="200">
        <v>0</v>
      </c>
      <c r="BC109" s="200">
        <v>0</v>
      </c>
      <c r="BD109" s="200">
        <v>0</v>
      </c>
      <c r="BE109" s="200">
        <v>0</v>
      </c>
      <c r="BF109" s="200">
        <v>0</v>
      </c>
      <c r="BG109" s="200">
        <v>0</v>
      </c>
      <c r="BH109" s="200">
        <v>0</v>
      </c>
      <c r="BI109" s="200">
        <v>0</v>
      </c>
      <c r="BJ109" s="203">
        <f t="shared" si="28"/>
        <v>0</v>
      </c>
      <c r="BK109" s="203">
        <f t="shared" si="29"/>
        <v>0</v>
      </c>
      <c r="BL109" s="203">
        <f>$BO$9+SUMPRODUCT($D$10:D109,$BK$10:BK109)</f>
        <v>8046522.2985823154</v>
      </c>
      <c r="BM109" s="202">
        <f t="shared" si="30"/>
        <v>5.85</v>
      </c>
      <c r="BN109" s="203">
        <f t="shared" si="33"/>
        <v>130113525.27565999</v>
      </c>
      <c r="BO109" s="204">
        <f t="shared" si="31"/>
        <v>2354276350.5006299</v>
      </c>
      <c r="BP109" s="201">
        <f t="shared" si="34"/>
        <v>0</v>
      </c>
      <c r="BQ109" s="201">
        <f t="shared" si="35"/>
        <v>0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165">
        <f t="shared" si="39"/>
        <v>101</v>
      </c>
      <c r="B110" s="166">
        <f t="shared" si="39"/>
        <v>2120</v>
      </c>
      <c r="C110" s="29">
        <v>5.85</v>
      </c>
      <c r="D110" s="164">
        <f t="shared" si="36"/>
        <v>3.2100000000000002E-3</v>
      </c>
      <c r="E110" s="200">
        <v>0</v>
      </c>
      <c r="F110" s="203">
        <f t="shared" si="38"/>
        <v>0</v>
      </c>
      <c r="G110" s="200">
        <v>0</v>
      </c>
      <c r="H110" s="200">
        <v>0</v>
      </c>
      <c r="I110" s="200">
        <v>0</v>
      </c>
      <c r="J110" s="200">
        <v>0</v>
      </c>
      <c r="K110" s="200">
        <v>0</v>
      </c>
      <c r="L110" s="200">
        <v>0</v>
      </c>
      <c r="M110" s="203">
        <f t="shared" si="21"/>
        <v>0</v>
      </c>
      <c r="N110" s="200">
        <v>0</v>
      </c>
      <c r="O110" s="200">
        <v>0</v>
      </c>
      <c r="P110" s="200">
        <v>0</v>
      </c>
      <c r="Q110" s="200">
        <v>0</v>
      </c>
      <c r="R110" s="200">
        <v>0</v>
      </c>
      <c r="S110" s="200">
        <v>0</v>
      </c>
      <c r="T110" s="200">
        <v>0</v>
      </c>
      <c r="U110" s="203">
        <f t="shared" si="22"/>
        <v>0</v>
      </c>
      <c r="V110" s="200">
        <v>0</v>
      </c>
      <c r="W110" s="200">
        <v>0</v>
      </c>
      <c r="X110" s="200">
        <v>0</v>
      </c>
      <c r="Y110" s="200">
        <v>0</v>
      </c>
      <c r="Z110" s="200">
        <v>0</v>
      </c>
      <c r="AA110" s="200">
        <v>0</v>
      </c>
      <c r="AB110" s="200">
        <v>0</v>
      </c>
      <c r="AC110" s="203">
        <f t="shared" si="23"/>
        <v>0</v>
      </c>
      <c r="AD110" s="200">
        <v>0</v>
      </c>
      <c r="AE110" s="200">
        <v>0</v>
      </c>
      <c r="AF110" s="200">
        <v>0</v>
      </c>
      <c r="AG110" s="200">
        <v>0</v>
      </c>
      <c r="AH110" s="203">
        <f t="shared" si="24"/>
        <v>0</v>
      </c>
      <c r="AI110" s="200">
        <v>0</v>
      </c>
      <c r="AJ110" s="200">
        <v>0</v>
      </c>
      <c r="AK110" s="200">
        <v>0</v>
      </c>
      <c r="AL110" s="200">
        <v>0</v>
      </c>
      <c r="AM110" s="200">
        <v>0</v>
      </c>
      <c r="AN110" s="200">
        <v>0</v>
      </c>
      <c r="AO110" s="200">
        <v>0</v>
      </c>
      <c r="AP110" s="200">
        <v>0</v>
      </c>
      <c r="AQ110" s="200">
        <v>0</v>
      </c>
      <c r="AR110" s="203">
        <f t="shared" si="25"/>
        <v>0</v>
      </c>
      <c r="AS110" s="203">
        <f t="shared" si="26"/>
        <v>0</v>
      </c>
      <c r="AT110" s="200">
        <v>0</v>
      </c>
      <c r="AU110" s="200">
        <v>0</v>
      </c>
      <c r="AV110" s="200">
        <v>0</v>
      </c>
      <c r="AW110" s="200">
        <v>0</v>
      </c>
      <c r="AX110" s="200">
        <v>0</v>
      </c>
      <c r="AY110" s="200">
        <v>0</v>
      </c>
      <c r="AZ110" s="203">
        <f t="shared" si="27"/>
        <v>0</v>
      </c>
      <c r="BA110" s="200">
        <v>0</v>
      </c>
      <c r="BB110" s="200">
        <v>0</v>
      </c>
      <c r="BC110" s="200">
        <v>0</v>
      </c>
      <c r="BD110" s="200">
        <v>0</v>
      </c>
      <c r="BE110" s="200">
        <v>0</v>
      </c>
      <c r="BF110" s="200">
        <v>0</v>
      </c>
      <c r="BG110" s="200">
        <v>0</v>
      </c>
      <c r="BH110" s="200">
        <v>0</v>
      </c>
      <c r="BI110" s="200">
        <v>0</v>
      </c>
      <c r="BJ110" s="203">
        <f t="shared" si="28"/>
        <v>0</v>
      </c>
      <c r="BK110" s="203">
        <f t="shared" si="29"/>
        <v>0</v>
      </c>
      <c r="BL110" s="203">
        <f>$BO$9+SUMPRODUCT($D$10:D110,$BK$10:BK110)</f>
        <v>8046522.2985823154</v>
      </c>
      <c r="BM110" s="202">
        <f t="shared" si="30"/>
        <v>5.85</v>
      </c>
      <c r="BN110" s="203">
        <f t="shared" si="33"/>
        <v>137725166.50429001</v>
      </c>
      <c r="BO110" s="204">
        <f t="shared" si="31"/>
        <v>2492001517.00492</v>
      </c>
      <c r="BP110" s="201">
        <f t="shared" si="34"/>
        <v>0</v>
      </c>
      <c r="BQ110" s="201">
        <f t="shared" si="35"/>
        <v>0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>
      <c r="A111" s="165">
        <f t="shared" si="39"/>
        <v>102</v>
      </c>
      <c r="B111" s="166">
        <f t="shared" si="39"/>
        <v>2121</v>
      </c>
      <c r="C111" s="29">
        <v>5.85</v>
      </c>
      <c r="D111" s="164">
        <f t="shared" si="36"/>
        <v>3.0300000000000001E-3</v>
      </c>
      <c r="E111" s="200">
        <v>0</v>
      </c>
      <c r="F111" s="203">
        <f t="shared" si="38"/>
        <v>0</v>
      </c>
      <c r="G111" s="200">
        <v>0</v>
      </c>
      <c r="H111" s="200">
        <v>0</v>
      </c>
      <c r="I111" s="200">
        <v>0</v>
      </c>
      <c r="J111" s="200">
        <v>0</v>
      </c>
      <c r="K111" s="200">
        <v>0</v>
      </c>
      <c r="L111" s="200">
        <v>0</v>
      </c>
      <c r="M111" s="203">
        <f t="shared" si="21"/>
        <v>0</v>
      </c>
      <c r="N111" s="200">
        <v>0</v>
      </c>
      <c r="O111" s="200">
        <v>0</v>
      </c>
      <c r="P111" s="200">
        <v>0</v>
      </c>
      <c r="Q111" s="200">
        <v>0</v>
      </c>
      <c r="R111" s="200">
        <v>0</v>
      </c>
      <c r="S111" s="200">
        <v>0</v>
      </c>
      <c r="T111" s="200">
        <v>0</v>
      </c>
      <c r="U111" s="203">
        <f t="shared" si="22"/>
        <v>0</v>
      </c>
      <c r="V111" s="200">
        <v>0</v>
      </c>
      <c r="W111" s="200">
        <v>0</v>
      </c>
      <c r="X111" s="200">
        <v>0</v>
      </c>
      <c r="Y111" s="200">
        <v>0</v>
      </c>
      <c r="Z111" s="200">
        <v>0</v>
      </c>
      <c r="AA111" s="200">
        <v>0</v>
      </c>
      <c r="AB111" s="200">
        <v>0</v>
      </c>
      <c r="AC111" s="203">
        <f t="shared" si="23"/>
        <v>0</v>
      </c>
      <c r="AD111" s="200">
        <v>0</v>
      </c>
      <c r="AE111" s="200">
        <v>0</v>
      </c>
      <c r="AF111" s="200">
        <v>0</v>
      </c>
      <c r="AG111" s="200">
        <v>0</v>
      </c>
      <c r="AH111" s="203">
        <f t="shared" si="24"/>
        <v>0</v>
      </c>
      <c r="AI111" s="200">
        <v>0</v>
      </c>
      <c r="AJ111" s="200">
        <v>0</v>
      </c>
      <c r="AK111" s="200">
        <v>0</v>
      </c>
      <c r="AL111" s="200">
        <v>0</v>
      </c>
      <c r="AM111" s="200">
        <v>0</v>
      </c>
      <c r="AN111" s="200">
        <v>0</v>
      </c>
      <c r="AO111" s="200">
        <v>0</v>
      </c>
      <c r="AP111" s="200">
        <v>0</v>
      </c>
      <c r="AQ111" s="200">
        <v>0</v>
      </c>
      <c r="AR111" s="203">
        <f t="shared" si="25"/>
        <v>0</v>
      </c>
      <c r="AS111" s="203">
        <f t="shared" si="26"/>
        <v>0</v>
      </c>
      <c r="AT111" s="200">
        <v>0</v>
      </c>
      <c r="AU111" s="200">
        <v>0</v>
      </c>
      <c r="AV111" s="200">
        <v>0</v>
      </c>
      <c r="AW111" s="200">
        <v>0</v>
      </c>
      <c r="AX111" s="200">
        <v>0</v>
      </c>
      <c r="AY111" s="200">
        <v>0</v>
      </c>
      <c r="AZ111" s="203">
        <f t="shared" si="27"/>
        <v>0</v>
      </c>
      <c r="BA111" s="200">
        <v>0</v>
      </c>
      <c r="BB111" s="200">
        <v>0</v>
      </c>
      <c r="BC111" s="200">
        <v>0</v>
      </c>
      <c r="BD111" s="200">
        <v>0</v>
      </c>
      <c r="BE111" s="200">
        <v>0</v>
      </c>
      <c r="BF111" s="200">
        <v>0</v>
      </c>
      <c r="BG111" s="200">
        <v>0</v>
      </c>
      <c r="BH111" s="200">
        <v>0</v>
      </c>
      <c r="BI111" s="200">
        <v>0</v>
      </c>
      <c r="BJ111" s="203">
        <f t="shared" si="28"/>
        <v>0</v>
      </c>
      <c r="BK111" s="203">
        <f t="shared" si="29"/>
        <v>0</v>
      </c>
      <c r="BL111" s="203">
        <f>$BO$9+SUMPRODUCT($D$10:D111,$BK$10:BK111)</f>
        <v>8046522.2985823154</v>
      </c>
      <c r="BM111" s="202">
        <f t="shared" si="30"/>
        <v>5.85</v>
      </c>
      <c r="BN111" s="203">
        <f t="shared" si="33"/>
        <v>145782088.74478999</v>
      </c>
      <c r="BO111" s="204">
        <f t="shared" si="31"/>
        <v>2637783605.7497101</v>
      </c>
      <c r="BP111" s="201">
        <f t="shared" si="34"/>
        <v>0</v>
      </c>
      <c r="BQ111" s="201">
        <f t="shared" si="35"/>
        <v>0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>
      <c r="A112" s="165">
        <f t="shared" si="39"/>
        <v>103</v>
      </c>
      <c r="B112" s="166">
        <f t="shared" si="39"/>
        <v>2122</v>
      </c>
      <c r="C112" s="29">
        <v>5.85</v>
      </c>
      <c r="D112" s="164">
        <f t="shared" si="36"/>
        <v>2.8600000000000001E-3</v>
      </c>
      <c r="E112" s="200">
        <v>0</v>
      </c>
      <c r="F112" s="203">
        <f t="shared" si="38"/>
        <v>0</v>
      </c>
      <c r="G112" s="200">
        <v>0</v>
      </c>
      <c r="H112" s="200">
        <v>0</v>
      </c>
      <c r="I112" s="200">
        <v>0</v>
      </c>
      <c r="J112" s="200">
        <v>0</v>
      </c>
      <c r="K112" s="200">
        <v>0</v>
      </c>
      <c r="L112" s="200">
        <v>0</v>
      </c>
      <c r="M112" s="203">
        <f t="shared" si="21"/>
        <v>0</v>
      </c>
      <c r="N112" s="200">
        <v>0</v>
      </c>
      <c r="O112" s="200">
        <v>0</v>
      </c>
      <c r="P112" s="200">
        <v>0</v>
      </c>
      <c r="Q112" s="200">
        <v>0</v>
      </c>
      <c r="R112" s="200">
        <v>0</v>
      </c>
      <c r="S112" s="200">
        <v>0</v>
      </c>
      <c r="T112" s="200">
        <v>0</v>
      </c>
      <c r="U112" s="203">
        <f t="shared" si="22"/>
        <v>0</v>
      </c>
      <c r="V112" s="200">
        <v>0</v>
      </c>
      <c r="W112" s="200">
        <v>0</v>
      </c>
      <c r="X112" s="200">
        <v>0</v>
      </c>
      <c r="Y112" s="200">
        <v>0</v>
      </c>
      <c r="Z112" s="200">
        <v>0</v>
      </c>
      <c r="AA112" s="200">
        <v>0</v>
      </c>
      <c r="AB112" s="200">
        <v>0</v>
      </c>
      <c r="AC112" s="203">
        <f t="shared" si="23"/>
        <v>0</v>
      </c>
      <c r="AD112" s="200">
        <v>0</v>
      </c>
      <c r="AE112" s="200">
        <v>0</v>
      </c>
      <c r="AF112" s="200">
        <v>0</v>
      </c>
      <c r="AG112" s="200">
        <v>0</v>
      </c>
      <c r="AH112" s="203">
        <f t="shared" si="24"/>
        <v>0</v>
      </c>
      <c r="AI112" s="200">
        <v>0</v>
      </c>
      <c r="AJ112" s="200">
        <v>0</v>
      </c>
      <c r="AK112" s="200">
        <v>0</v>
      </c>
      <c r="AL112" s="200">
        <v>0</v>
      </c>
      <c r="AM112" s="200">
        <v>0</v>
      </c>
      <c r="AN112" s="200">
        <v>0</v>
      </c>
      <c r="AO112" s="200">
        <v>0</v>
      </c>
      <c r="AP112" s="200">
        <v>0</v>
      </c>
      <c r="AQ112" s="200">
        <v>0</v>
      </c>
      <c r="AR112" s="203">
        <f t="shared" si="25"/>
        <v>0</v>
      </c>
      <c r="AS112" s="203">
        <f t="shared" si="26"/>
        <v>0</v>
      </c>
      <c r="AT112" s="200">
        <v>0</v>
      </c>
      <c r="AU112" s="200">
        <v>0</v>
      </c>
      <c r="AV112" s="200">
        <v>0</v>
      </c>
      <c r="AW112" s="200">
        <v>0</v>
      </c>
      <c r="AX112" s="200">
        <v>0</v>
      </c>
      <c r="AY112" s="200">
        <v>0</v>
      </c>
      <c r="AZ112" s="203">
        <f t="shared" si="27"/>
        <v>0</v>
      </c>
      <c r="BA112" s="200">
        <v>0</v>
      </c>
      <c r="BB112" s="200">
        <v>0</v>
      </c>
      <c r="BC112" s="200">
        <v>0</v>
      </c>
      <c r="BD112" s="200">
        <v>0</v>
      </c>
      <c r="BE112" s="200">
        <v>0</v>
      </c>
      <c r="BF112" s="200">
        <v>0</v>
      </c>
      <c r="BG112" s="200">
        <v>0</v>
      </c>
      <c r="BH112" s="200">
        <v>0</v>
      </c>
      <c r="BI112" s="200">
        <v>0</v>
      </c>
      <c r="BJ112" s="203">
        <f t="shared" si="28"/>
        <v>0</v>
      </c>
      <c r="BK112" s="203">
        <f t="shared" si="29"/>
        <v>0</v>
      </c>
      <c r="BL112" s="203">
        <f>$BO$9+SUMPRODUCT($D$10:D112,$BK$10:BK112)</f>
        <v>8046522.2985823154</v>
      </c>
      <c r="BM112" s="202">
        <f t="shared" si="30"/>
        <v>5.85</v>
      </c>
      <c r="BN112" s="203">
        <f t="shared" si="33"/>
        <v>154310340.93636</v>
      </c>
      <c r="BO112" s="204">
        <f t="shared" si="31"/>
        <v>2792093946.68607</v>
      </c>
      <c r="BP112" s="201">
        <f t="shared" si="34"/>
        <v>0</v>
      </c>
      <c r="BQ112" s="201">
        <f t="shared" si="35"/>
        <v>0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>
      <c r="A113" s="165">
        <f t="shared" si="39"/>
        <v>104</v>
      </c>
      <c r="B113" s="166">
        <f t="shared" si="39"/>
        <v>2123</v>
      </c>
      <c r="C113" s="29">
        <v>5.85</v>
      </c>
      <c r="D113" s="164">
        <f t="shared" si="36"/>
        <v>2.7000000000000001E-3</v>
      </c>
      <c r="E113" s="200">
        <v>0</v>
      </c>
      <c r="F113" s="203">
        <f t="shared" si="38"/>
        <v>0</v>
      </c>
      <c r="G113" s="200">
        <v>0</v>
      </c>
      <c r="H113" s="200">
        <v>0</v>
      </c>
      <c r="I113" s="200">
        <v>0</v>
      </c>
      <c r="J113" s="200">
        <v>0</v>
      </c>
      <c r="K113" s="200">
        <v>0</v>
      </c>
      <c r="L113" s="200">
        <v>0</v>
      </c>
      <c r="M113" s="203">
        <f t="shared" si="21"/>
        <v>0</v>
      </c>
      <c r="N113" s="200">
        <v>0</v>
      </c>
      <c r="O113" s="200">
        <v>0</v>
      </c>
      <c r="P113" s="200">
        <v>0</v>
      </c>
      <c r="Q113" s="200">
        <v>0</v>
      </c>
      <c r="R113" s="200">
        <v>0</v>
      </c>
      <c r="S113" s="200">
        <v>0</v>
      </c>
      <c r="T113" s="200">
        <v>0</v>
      </c>
      <c r="U113" s="203">
        <f t="shared" si="22"/>
        <v>0</v>
      </c>
      <c r="V113" s="200">
        <v>0</v>
      </c>
      <c r="W113" s="200">
        <v>0</v>
      </c>
      <c r="X113" s="200">
        <v>0</v>
      </c>
      <c r="Y113" s="200">
        <v>0</v>
      </c>
      <c r="Z113" s="200">
        <v>0</v>
      </c>
      <c r="AA113" s="200">
        <v>0</v>
      </c>
      <c r="AB113" s="200">
        <v>0</v>
      </c>
      <c r="AC113" s="203">
        <f t="shared" si="23"/>
        <v>0</v>
      </c>
      <c r="AD113" s="200">
        <v>0</v>
      </c>
      <c r="AE113" s="200">
        <v>0</v>
      </c>
      <c r="AF113" s="200">
        <v>0</v>
      </c>
      <c r="AG113" s="200">
        <v>0</v>
      </c>
      <c r="AH113" s="203">
        <f t="shared" si="24"/>
        <v>0</v>
      </c>
      <c r="AI113" s="200">
        <v>0</v>
      </c>
      <c r="AJ113" s="200">
        <v>0</v>
      </c>
      <c r="AK113" s="200">
        <v>0</v>
      </c>
      <c r="AL113" s="200">
        <v>0</v>
      </c>
      <c r="AM113" s="200">
        <v>0</v>
      </c>
      <c r="AN113" s="200">
        <v>0</v>
      </c>
      <c r="AO113" s="200">
        <v>0</v>
      </c>
      <c r="AP113" s="200">
        <v>0</v>
      </c>
      <c r="AQ113" s="200">
        <v>0</v>
      </c>
      <c r="AR113" s="203">
        <f t="shared" si="25"/>
        <v>0</v>
      </c>
      <c r="AS113" s="203">
        <f t="shared" si="26"/>
        <v>0</v>
      </c>
      <c r="AT113" s="200">
        <v>0</v>
      </c>
      <c r="AU113" s="200">
        <v>0</v>
      </c>
      <c r="AV113" s="200">
        <v>0</v>
      </c>
      <c r="AW113" s="200">
        <v>0</v>
      </c>
      <c r="AX113" s="200">
        <v>0</v>
      </c>
      <c r="AY113" s="200">
        <v>0</v>
      </c>
      <c r="AZ113" s="203">
        <f t="shared" si="27"/>
        <v>0</v>
      </c>
      <c r="BA113" s="200">
        <v>0</v>
      </c>
      <c r="BB113" s="200">
        <v>0</v>
      </c>
      <c r="BC113" s="200">
        <v>0</v>
      </c>
      <c r="BD113" s="200">
        <v>0</v>
      </c>
      <c r="BE113" s="200">
        <v>0</v>
      </c>
      <c r="BF113" s="200">
        <v>0</v>
      </c>
      <c r="BG113" s="200">
        <v>0</v>
      </c>
      <c r="BH113" s="200">
        <v>0</v>
      </c>
      <c r="BI113" s="200">
        <v>0</v>
      </c>
      <c r="BJ113" s="203">
        <f t="shared" si="28"/>
        <v>0</v>
      </c>
      <c r="BK113" s="203">
        <f t="shared" si="29"/>
        <v>0</v>
      </c>
      <c r="BL113" s="203">
        <f>$BO$9+SUMPRODUCT($D$10:D113,$BK$10:BK113)</f>
        <v>8046522.2985823154</v>
      </c>
      <c r="BM113" s="202">
        <f t="shared" si="30"/>
        <v>5.85</v>
      </c>
      <c r="BN113" s="203">
        <f t="shared" si="33"/>
        <v>163337495.88113999</v>
      </c>
      <c r="BO113" s="204">
        <f t="shared" si="31"/>
        <v>2955431442.5672102</v>
      </c>
      <c r="BP113" s="201">
        <f t="shared" si="34"/>
        <v>0</v>
      </c>
      <c r="BQ113" s="201">
        <f t="shared" si="35"/>
        <v>0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>
      <c r="A114" s="165">
        <f t="shared" si="39"/>
        <v>105</v>
      </c>
      <c r="B114" s="166">
        <f t="shared" si="39"/>
        <v>2124</v>
      </c>
      <c r="C114" s="29">
        <v>5.85</v>
      </c>
      <c r="D114" s="164">
        <f t="shared" si="36"/>
        <v>2.5500000000000002E-3</v>
      </c>
      <c r="E114" s="200">
        <v>0</v>
      </c>
      <c r="F114" s="203">
        <f t="shared" si="38"/>
        <v>0</v>
      </c>
      <c r="G114" s="200">
        <v>0</v>
      </c>
      <c r="H114" s="200">
        <v>0</v>
      </c>
      <c r="I114" s="200">
        <v>0</v>
      </c>
      <c r="J114" s="200">
        <v>0</v>
      </c>
      <c r="K114" s="200">
        <v>0</v>
      </c>
      <c r="L114" s="200">
        <v>0</v>
      </c>
      <c r="M114" s="203">
        <f t="shared" si="21"/>
        <v>0</v>
      </c>
      <c r="N114" s="200">
        <v>0</v>
      </c>
      <c r="O114" s="200">
        <v>0</v>
      </c>
      <c r="P114" s="200">
        <v>0</v>
      </c>
      <c r="Q114" s="200">
        <v>0</v>
      </c>
      <c r="R114" s="200">
        <v>0</v>
      </c>
      <c r="S114" s="200">
        <v>0</v>
      </c>
      <c r="T114" s="200">
        <v>0</v>
      </c>
      <c r="U114" s="203">
        <f t="shared" si="22"/>
        <v>0</v>
      </c>
      <c r="V114" s="200">
        <v>0</v>
      </c>
      <c r="W114" s="200">
        <v>0</v>
      </c>
      <c r="X114" s="200">
        <v>0</v>
      </c>
      <c r="Y114" s="200">
        <v>0</v>
      </c>
      <c r="Z114" s="200">
        <v>0</v>
      </c>
      <c r="AA114" s="200">
        <v>0</v>
      </c>
      <c r="AB114" s="200">
        <v>0</v>
      </c>
      <c r="AC114" s="203">
        <f t="shared" si="23"/>
        <v>0</v>
      </c>
      <c r="AD114" s="200">
        <v>0</v>
      </c>
      <c r="AE114" s="200">
        <v>0</v>
      </c>
      <c r="AF114" s="200">
        <v>0</v>
      </c>
      <c r="AG114" s="200">
        <v>0</v>
      </c>
      <c r="AH114" s="203">
        <f t="shared" si="24"/>
        <v>0</v>
      </c>
      <c r="AI114" s="200">
        <v>0</v>
      </c>
      <c r="AJ114" s="200">
        <v>0</v>
      </c>
      <c r="AK114" s="200">
        <v>0</v>
      </c>
      <c r="AL114" s="200">
        <v>0</v>
      </c>
      <c r="AM114" s="200">
        <v>0</v>
      </c>
      <c r="AN114" s="200">
        <v>0</v>
      </c>
      <c r="AO114" s="200">
        <v>0</v>
      </c>
      <c r="AP114" s="200">
        <v>0</v>
      </c>
      <c r="AQ114" s="200">
        <v>0</v>
      </c>
      <c r="AR114" s="203">
        <f t="shared" si="25"/>
        <v>0</v>
      </c>
      <c r="AS114" s="203">
        <f t="shared" si="26"/>
        <v>0</v>
      </c>
      <c r="AT114" s="200">
        <v>0</v>
      </c>
      <c r="AU114" s="200">
        <v>0</v>
      </c>
      <c r="AV114" s="200">
        <v>0</v>
      </c>
      <c r="AW114" s="200">
        <v>0</v>
      </c>
      <c r="AX114" s="200">
        <v>0</v>
      </c>
      <c r="AY114" s="200">
        <v>0</v>
      </c>
      <c r="AZ114" s="203">
        <f t="shared" si="27"/>
        <v>0</v>
      </c>
      <c r="BA114" s="200">
        <v>0</v>
      </c>
      <c r="BB114" s="200">
        <v>0</v>
      </c>
      <c r="BC114" s="200">
        <v>0</v>
      </c>
      <c r="BD114" s="200">
        <v>0</v>
      </c>
      <c r="BE114" s="200">
        <v>0</v>
      </c>
      <c r="BF114" s="200">
        <v>0</v>
      </c>
      <c r="BG114" s="200">
        <v>0</v>
      </c>
      <c r="BH114" s="200">
        <v>0</v>
      </c>
      <c r="BI114" s="200">
        <v>0</v>
      </c>
      <c r="BJ114" s="203">
        <f t="shared" si="28"/>
        <v>0</v>
      </c>
      <c r="BK114" s="203">
        <f t="shared" si="29"/>
        <v>0</v>
      </c>
      <c r="BL114" s="203">
        <f>$BO$9+SUMPRODUCT($D$10:D114,$BK$10:BK114)</f>
        <v>8046522.2985823154</v>
      </c>
      <c r="BM114" s="202">
        <f t="shared" si="30"/>
        <v>5.85</v>
      </c>
      <c r="BN114" s="203">
        <f t="shared" si="33"/>
        <v>172892739.39017999</v>
      </c>
      <c r="BO114" s="204">
        <f t="shared" si="31"/>
        <v>3128324181.9573898</v>
      </c>
      <c r="BP114" s="201">
        <f t="shared" si="34"/>
        <v>0</v>
      </c>
      <c r="BQ114" s="201">
        <f t="shared" si="35"/>
        <v>0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>
      <c r="A115" s="165">
        <f t="shared" si="39"/>
        <v>106</v>
      </c>
      <c r="B115" s="166">
        <f t="shared" si="39"/>
        <v>2125</v>
      </c>
      <c r="C115" s="29">
        <v>5.85</v>
      </c>
      <c r="D115" s="164">
        <f t="shared" si="36"/>
        <v>2.4099999999999998E-3</v>
      </c>
      <c r="E115" s="200">
        <v>0</v>
      </c>
      <c r="F115" s="203">
        <f t="shared" si="38"/>
        <v>0</v>
      </c>
      <c r="G115" s="200">
        <v>0</v>
      </c>
      <c r="H115" s="200">
        <v>0</v>
      </c>
      <c r="I115" s="200">
        <v>0</v>
      </c>
      <c r="J115" s="200">
        <v>0</v>
      </c>
      <c r="K115" s="200">
        <v>0</v>
      </c>
      <c r="L115" s="200">
        <v>0</v>
      </c>
      <c r="M115" s="203">
        <f t="shared" si="21"/>
        <v>0</v>
      </c>
      <c r="N115" s="200">
        <v>0</v>
      </c>
      <c r="O115" s="200">
        <v>0</v>
      </c>
      <c r="P115" s="200">
        <v>0</v>
      </c>
      <c r="Q115" s="200">
        <v>0</v>
      </c>
      <c r="R115" s="200">
        <v>0</v>
      </c>
      <c r="S115" s="200">
        <v>0</v>
      </c>
      <c r="T115" s="200">
        <v>0</v>
      </c>
      <c r="U115" s="203">
        <f t="shared" si="22"/>
        <v>0</v>
      </c>
      <c r="V115" s="200">
        <v>0</v>
      </c>
      <c r="W115" s="200">
        <v>0</v>
      </c>
      <c r="X115" s="200">
        <v>0</v>
      </c>
      <c r="Y115" s="200">
        <v>0</v>
      </c>
      <c r="Z115" s="200">
        <v>0</v>
      </c>
      <c r="AA115" s="200">
        <v>0</v>
      </c>
      <c r="AB115" s="200">
        <v>0</v>
      </c>
      <c r="AC115" s="203">
        <f t="shared" si="23"/>
        <v>0</v>
      </c>
      <c r="AD115" s="200">
        <v>0</v>
      </c>
      <c r="AE115" s="200">
        <v>0</v>
      </c>
      <c r="AF115" s="200">
        <v>0</v>
      </c>
      <c r="AG115" s="200">
        <v>0</v>
      </c>
      <c r="AH115" s="203">
        <f t="shared" si="24"/>
        <v>0</v>
      </c>
      <c r="AI115" s="200">
        <v>0</v>
      </c>
      <c r="AJ115" s="200">
        <v>0</v>
      </c>
      <c r="AK115" s="200">
        <v>0</v>
      </c>
      <c r="AL115" s="200">
        <v>0</v>
      </c>
      <c r="AM115" s="200">
        <v>0</v>
      </c>
      <c r="AN115" s="200">
        <v>0</v>
      </c>
      <c r="AO115" s="200">
        <v>0</v>
      </c>
      <c r="AP115" s="200">
        <v>0</v>
      </c>
      <c r="AQ115" s="200">
        <v>0</v>
      </c>
      <c r="AR115" s="203">
        <f t="shared" si="25"/>
        <v>0</v>
      </c>
      <c r="AS115" s="203">
        <f t="shared" si="26"/>
        <v>0</v>
      </c>
      <c r="AT115" s="200">
        <v>0</v>
      </c>
      <c r="AU115" s="200">
        <v>0</v>
      </c>
      <c r="AV115" s="200">
        <v>0</v>
      </c>
      <c r="AW115" s="200">
        <v>0</v>
      </c>
      <c r="AX115" s="200">
        <v>0</v>
      </c>
      <c r="AY115" s="200">
        <v>0</v>
      </c>
      <c r="AZ115" s="203">
        <f t="shared" si="27"/>
        <v>0</v>
      </c>
      <c r="BA115" s="200">
        <v>0</v>
      </c>
      <c r="BB115" s="200">
        <v>0</v>
      </c>
      <c r="BC115" s="200">
        <v>0</v>
      </c>
      <c r="BD115" s="200">
        <v>0</v>
      </c>
      <c r="BE115" s="200">
        <v>0</v>
      </c>
      <c r="BF115" s="200">
        <v>0</v>
      </c>
      <c r="BG115" s="200">
        <v>0</v>
      </c>
      <c r="BH115" s="200">
        <v>0</v>
      </c>
      <c r="BI115" s="200">
        <v>0</v>
      </c>
      <c r="BJ115" s="203">
        <f t="shared" si="28"/>
        <v>0</v>
      </c>
      <c r="BK115" s="203">
        <f t="shared" si="29"/>
        <v>0</v>
      </c>
      <c r="BL115" s="203">
        <f>$BO$9+SUMPRODUCT($D$10:D115,$BK$10:BK115)</f>
        <v>8046522.2985823154</v>
      </c>
      <c r="BM115" s="202">
        <f t="shared" si="30"/>
        <v>5.85</v>
      </c>
      <c r="BN115" s="203">
        <f t="shared" si="33"/>
        <v>183006964.64451</v>
      </c>
      <c r="BO115" s="204">
        <f t="shared" si="31"/>
        <v>3311331146.6019001</v>
      </c>
      <c r="BP115" s="201">
        <f t="shared" si="34"/>
        <v>0</v>
      </c>
      <c r="BQ115" s="201">
        <f t="shared" si="35"/>
        <v>0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>
      <c r="A116" s="165">
        <f t="shared" si="39"/>
        <v>107</v>
      </c>
      <c r="B116" s="166">
        <f t="shared" si="39"/>
        <v>2126</v>
      </c>
      <c r="C116" s="29">
        <v>5.85</v>
      </c>
      <c r="D116" s="164">
        <f t="shared" si="36"/>
        <v>2.2799999999999999E-3</v>
      </c>
      <c r="E116" s="200">
        <v>0</v>
      </c>
      <c r="F116" s="203">
        <f t="shared" si="38"/>
        <v>0</v>
      </c>
      <c r="G116" s="200">
        <v>0</v>
      </c>
      <c r="H116" s="200">
        <v>0</v>
      </c>
      <c r="I116" s="200">
        <v>0</v>
      </c>
      <c r="J116" s="200">
        <v>0</v>
      </c>
      <c r="K116" s="200">
        <v>0</v>
      </c>
      <c r="L116" s="200">
        <v>0</v>
      </c>
      <c r="M116" s="203">
        <f t="shared" si="21"/>
        <v>0</v>
      </c>
      <c r="N116" s="200">
        <v>0</v>
      </c>
      <c r="O116" s="200">
        <v>0</v>
      </c>
      <c r="P116" s="200">
        <v>0</v>
      </c>
      <c r="Q116" s="200">
        <v>0</v>
      </c>
      <c r="R116" s="200">
        <v>0</v>
      </c>
      <c r="S116" s="200">
        <v>0</v>
      </c>
      <c r="T116" s="200">
        <v>0</v>
      </c>
      <c r="U116" s="203">
        <f t="shared" si="22"/>
        <v>0</v>
      </c>
      <c r="V116" s="200">
        <v>0</v>
      </c>
      <c r="W116" s="200">
        <v>0</v>
      </c>
      <c r="X116" s="200">
        <v>0</v>
      </c>
      <c r="Y116" s="200">
        <v>0</v>
      </c>
      <c r="Z116" s="200">
        <v>0</v>
      </c>
      <c r="AA116" s="200">
        <v>0</v>
      </c>
      <c r="AB116" s="200">
        <v>0</v>
      </c>
      <c r="AC116" s="203">
        <f t="shared" si="23"/>
        <v>0</v>
      </c>
      <c r="AD116" s="200">
        <v>0</v>
      </c>
      <c r="AE116" s="200">
        <v>0</v>
      </c>
      <c r="AF116" s="200">
        <v>0</v>
      </c>
      <c r="AG116" s="200">
        <v>0</v>
      </c>
      <c r="AH116" s="203">
        <f t="shared" si="24"/>
        <v>0</v>
      </c>
      <c r="AI116" s="200">
        <v>0</v>
      </c>
      <c r="AJ116" s="200">
        <v>0</v>
      </c>
      <c r="AK116" s="200">
        <v>0</v>
      </c>
      <c r="AL116" s="200">
        <v>0</v>
      </c>
      <c r="AM116" s="200">
        <v>0</v>
      </c>
      <c r="AN116" s="200">
        <v>0</v>
      </c>
      <c r="AO116" s="200">
        <v>0</v>
      </c>
      <c r="AP116" s="200">
        <v>0</v>
      </c>
      <c r="AQ116" s="200">
        <v>0</v>
      </c>
      <c r="AR116" s="203">
        <f t="shared" si="25"/>
        <v>0</v>
      </c>
      <c r="AS116" s="203">
        <f t="shared" si="26"/>
        <v>0</v>
      </c>
      <c r="AT116" s="200">
        <v>0</v>
      </c>
      <c r="AU116" s="200">
        <v>0</v>
      </c>
      <c r="AV116" s="200">
        <v>0</v>
      </c>
      <c r="AW116" s="200">
        <v>0</v>
      </c>
      <c r="AX116" s="200">
        <v>0</v>
      </c>
      <c r="AY116" s="200">
        <v>0</v>
      </c>
      <c r="AZ116" s="203">
        <f t="shared" si="27"/>
        <v>0</v>
      </c>
      <c r="BA116" s="200">
        <v>0</v>
      </c>
      <c r="BB116" s="200">
        <v>0</v>
      </c>
      <c r="BC116" s="200">
        <v>0</v>
      </c>
      <c r="BD116" s="200">
        <v>0</v>
      </c>
      <c r="BE116" s="200">
        <v>0</v>
      </c>
      <c r="BF116" s="200">
        <v>0</v>
      </c>
      <c r="BG116" s="200">
        <v>0</v>
      </c>
      <c r="BH116" s="200">
        <v>0</v>
      </c>
      <c r="BI116" s="200">
        <v>0</v>
      </c>
      <c r="BJ116" s="203">
        <f t="shared" si="28"/>
        <v>0</v>
      </c>
      <c r="BK116" s="203">
        <f t="shared" si="29"/>
        <v>0</v>
      </c>
      <c r="BL116" s="203">
        <f>$BO$9+SUMPRODUCT($D$10:D116,$BK$10:BK116)</f>
        <v>8046522.2985823154</v>
      </c>
      <c r="BM116" s="202">
        <f t="shared" si="30"/>
        <v>5.85</v>
      </c>
      <c r="BN116" s="203">
        <f t="shared" si="33"/>
        <v>193712872.07620999</v>
      </c>
      <c r="BO116" s="204">
        <f t="shared" si="31"/>
        <v>3505044018.6781101</v>
      </c>
      <c r="BP116" s="201">
        <f t="shared" si="34"/>
        <v>0</v>
      </c>
      <c r="BQ116" s="201">
        <f t="shared" si="35"/>
        <v>0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>
      <c r="A117" s="165">
        <f t="shared" si="39"/>
        <v>108</v>
      </c>
      <c r="B117" s="166">
        <f t="shared" si="39"/>
        <v>2127</v>
      </c>
      <c r="C117" s="29">
        <v>5.85</v>
      </c>
      <c r="D117" s="164">
        <f t="shared" si="36"/>
        <v>2.15E-3</v>
      </c>
      <c r="E117" s="200">
        <v>0</v>
      </c>
      <c r="F117" s="203">
        <f t="shared" si="38"/>
        <v>0</v>
      </c>
      <c r="G117" s="200">
        <v>0</v>
      </c>
      <c r="H117" s="200">
        <v>0</v>
      </c>
      <c r="I117" s="200">
        <v>0</v>
      </c>
      <c r="J117" s="200">
        <v>0</v>
      </c>
      <c r="K117" s="200">
        <v>0</v>
      </c>
      <c r="L117" s="200">
        <v>0</v>
      </c>
      <c r="M117" s="203">
        <f t="shared" si="21"/>
        <v>0</v>
      </c>
      <c r="N117" s="200">
        <v>0</v>
      </c>
      <c r="O117" s="200">
        <v>0</v>
      </c>
      <c r="P117" s="200">
        <v>0</v>
      </c>
      <c r="Q117" s="200">
        <v>0</v>
      </c>
      <c r="R117" s="200">
        <v>0</v>
      </c>
      <c r="S117" s="200">
        <v>0</v>
      </c>
      <c r="T117" s="200">
        <v>0</v>
      </c>
      <c r="U117" s="203">
        <f t="shared" si="22"/>
        <v>0</v>
      </c>
      <c r="V117" s="200">
        <v>0</v>
      </c>
      <c r="W117" s="200">
        <v>0</v>
      </c>
      <c r="X117" s="200">
        <v>0</v>
      </c>
      <c r="Y117" s="200">
        <v>0</v>
      </c>
      <c r="Z117" s="200">
        <v>0</v>
      </c>
      <c r="AA117" s="200">
        <v>0</v>
      </c>
      <c r="AB117" s="200">
        <v>0</v>
      </c>
      <c r="AC117" s="203">
        <f t="shared" si="23"/>
        <v>0</v>
      </c>
      <c r="AD117" s="200">
        <v>0</v>
      </c>
      <c r="AE117" s="200">
        <v>0</v>
      </c>
      <c r="AF117" s="200">
        <v>0</v>
      </c>
      <c r="AG117" s="200">
        <v>0</v>
      </c>
      <c r="AH117" s="203">
        <f t="shared" si="24"/>
        <v>0</v>
      </c>
      <c r="AI117" s="200">
        <v>0</v>
      </c>
      <c r="AJ117" s="200">
        <v>0</v>
      </c>
      <c r="AK117" s="200">
        <v>0</v>
      </c>
      <c r="AL117" s="200">
        <v>0</v>
      </c>
      <c r="AM117" s="200">
        <v>0</v>
      </c>
      <c r="AN117" s="200">
        <v>0</v>
      </c>
      <c r="AO117" s="200">
        <v>0</v>
      </c>
      <c r="AP117" s="200">
        <v>0</v>
      </c>
      <c r="AQ117" s="200">
        <v>0</v>
      </c>
      <c r="AR117" s="203">
        <f t="shared" si="25"/>
        <v>0</v>
      </c>
      <c r="AS117" s="203">
        <f t="shared" si="26"/>
        <v>0</v>
      </c>
      <c r="AT117" s="200">
        <v>0</v>
      </c>
      <c r="AU117" s="200">
        <v>0</v>
      </c>
      <c r="AV117" s="200">
        <v>0</v>
      </c>
      <c r="AW117" s="200">
        <v>0</v>
      </c>
      <c r="AX117" s="200">
        <v>0</v>
      </c>
      <c r="AY117" s="200">
        <v>0</v>
      </c>
      <c r="AZ117" s="203">
        <f t="shared" si="27"/>
        <v>0</v>
      </c>
      <c r="BA117" s="200">
        <v>0</v>
      </c>
      <c r="BB117" s="200">
        <v>0</v>
      </c>
      <c r="BC117" s="200">
        <v>0</v>
      </c>
      <c r="BD117" s="200">
        <v>0</v>
      </c>
      <c r="BE117" s="200">
        <v>0</v>
      </c>
      <c r="BF117" s="200">
        <v>0</v>
      </c>
      <c r="BG117" s="200">
        <v>0</v>
      </c>
      <c r="BH117" s="200">
        <v>0</v>
      </c>
      <c r="BI117" s="200">
        <v>0</v>
      </c>
      <c r="BJ117" s="203">
        <f t="shared" si="28"/>
        <v>0</v>
      </c>
      <c r="BK117" s="203">
        <f t="shared" si="29"/>
        <v>0</v>
      </c>
      <c r="BL117" s="203">
        <f>$BO$9+SUMPRODUCT($D$10:D117,$BK$10:BK117)</f>
        <v>8046522.2985823154</v>
      </c>
      <c r="BM117" s="202">
        <f t="shared" si="30"/>
        <v>5.85</v>
      </c>
      <c r="BN117" s="203">
        <f t="shared" si="33"/>
        <v>205045075.09266999</v>
      </c>
      <c r="BO117" s="204">
        <f t="shared" si="31"/>
        <v>3710089093.7707801</v>
      </c>
      <c r="BP117" s="201">
        <f t="shared" si="34"/>
        <v>0</v>
      </c>
      <c r="BQ117" s="201">
        <f t="shared" si="35"/>
        <v>0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>
      <c r="A118" s="165">
        <f t="shared" si="39"/>
        <v>109</v>
      </c>
      <c r="B118" s="166">
        <f t="shared" si="39"/>
        <v>2128</v>
      </c>
      <c r="C118" s="29">
        <v>5.85</v>
      </c>
      <c r="D118" s="164">
        <f t="shared" si="36"/>
        <v>2.0300000000000001E-3</v>
      </c>
      <c r="E118" s="200">
        <v>0</v>
      </c>
      <c r="F118" s="203">
        <f t="shared" si="38"/>
        <v>0</v>
      </c>
      <c r="G118" s="200">
        <v>0</v>
      </c>
      <c r="H118" s="200">
        <v>0</v>
      </c>
      <c r="I118" s="200">
        <v>0</v>
      </c>
      <c r="J118" s="200">
        <v>0</v>
      </c>
      <c r="K118" s="200">
        <v>0</v>
      </c>
      <c r="L118" s="200">
        <v>0</v>
      </c>
      <c r="M118" s="203">
        <f t="shared" si="21"/>
        <v>0</v>
      </c>
      <c r="N118" s="200">
        <v>0</v>
      </c>
      <c r="O118" s="200">
        <v>0</v>
      </c>
      <c r="P118" s="200">
        <v>0</v>
      </c>
      <c r="Q118" s="200">
        <v>0</v>
      </c>
      <c r="R118" s="200">
        <v>0</v>
      </c>
      <c r="S118" s="200">
        <v>0</v>
      </c>
      <c r="T118" s="200">
        <v>0</v>
      </c>
      <c r="U118" s="203">
        <f t="shared" si="22"/>
        <v>0</v>
      </c>
      <c r="V118" s="200">
        <v>0</v>
      </c>
      <c r="W118" s="200">
        <v>0</v>
      </c>
      <c r="X118" s="200">
        <v>0</v>
      </c>
      <c r="Y118" s="200">
        <v>0</v>
      </c>
      <c r="Z118" s="200">
        <v>0</v>
      </c>
      <c r="AA118" s="200">
        <v>0</v>
      </c>
      <c r="AB118" s="200">
        <v>0</v>
      </c>
      <c r="AC118" s="203">
        <f t="shared" si="23"/>
        <v>0</v>
      </c>
      <c r="AD118" s="200">
        <v>0</v>
      </c>
      <c r="AE118" s="200">
        <v>0</v>
      </c>
      <c r="AF118" s="200">
        <v>0</v>
      </c>
      <c r="AG118" s="200">
        <v>0</v>
      </c>
      <c r="AH118" s="203">
        <f t="shared" si="24"/>
        <v>0</v>
      </c>
      <c r="AI118" s="200">
        <v>0</v>
      </c>
      <c r="AJ118" s="200">
        <v>0</v>
      </c>
      <c r="AK118" s="200">
        <v>0</v>
      </c>
      <c r="AL118" s="200">
        <v>0</v>
      </c>
      <c r="AM118" s="200">
        <v>0</v>
      </c>
      <c r="AN118" s="200">
        <v>0</v>
      </c>
      <c r="AO118" s="200">
        <v>0</v>
      </c>
      <c r="AP118" s="200">
        <v>0</v>
      </c>
      <c r="AQ118" s="200">
        <v>0</v>
      </c>
      <c r="AR118" s="203">
        <f t="shared" si="25"/>
        <v>0</v>
      </c>
      <c r="AS118" s="203">
        <f t="shared" si="26"/>
        <v>0</v>
      </c>
      <c r="AT118" s="200">
        <v>0</v>
      </c>
      <c r="AU118" s="200">
        <v>0</v>
      </c>
      <c r="AV118" s="200">
        <v>0</v>
      </c>
      <c r="AW118" s="200">
        <v>0</v>
      </c>
      <c r="AX118" s="200">
        <v>0</v>
      </c>
      <c r="AY118" s="200">
        <v>0</v>
      </c>
      <c r="AZ118" s="203">
        <f t="shared" si="27"/>
        <v>0</v>
      </c>
      <c r="BA118" s="200">
        <v>0</v>
      </c>
      <c r="BB118" s="200">
        <v>0</v>
      </c>
      <c r="BC118" s="200">
        <v>0</v>
      </c>
      <c r="BD118" s="200">
        <v>0</v>
      </c>
      <c r="BE118" s="200">
        <v>0</v>
      </c>
      <c r="BF118" s="200">
        <v>0</v>
      </c>
      <c r="BG118" s="200">
        <v>0</v>
      </c>
      <c r="BH118" s="200">
        <v>0</v>
      </c>
      <c r="BI118" s="200">
        <v>0</v>
      </c>
      <c r="BJ118" s="203">
        <f t="shared" si="28"/>
        <v>0</v>
      </c>
      <c r="BK118" s="203">
        <f t="shared" si="29"/>
        <v>0</v>
      </c>
      <c r="BL118" s="203">
        <f>$BO$9+SUMPRODUCT($D$10:D118,$BK$10:BK118)</f>
        <v>8046522.2985823154</v>
      </c>
      <c r="BM118" s="202">
        <f t="shared" si="30"/>
        <v>5.85</v>
      </c>
      <c r="BN118" s="203">
        <f t="shared" si="33"/>
        <v>217040211.98559001</v>
      </c>
      <c r="BO118" s="204">
        <f t="shared" si="31"/>
        <v>3927129305.7563701</v>
      </c>
      <c r="BP118" s="201">
        <f t="shared" si="34"/>
        <v>0</v>
      </c>
      <c r="BQ118" s="201">
        <f t="shared" si="35"/>
        <v>0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>
      <c r="A119" s="165">
        <f t="shared" si="39"/>
        <v>110</v>
      </c>
      <c r="B119" s="166">
        <f t="shared" si="39"/>
        <v>2129</v>
      </c>
      <c r="C119" s="29">
        <v>5.85</v>
      </c>
      <c r="D119" s="164">
        <f t="shared" si="36"/>
        <v>1.92E-3</v>
      </c>
      <c r="E119" s="200">
        <v>0</v>
      </c>
      <c r="F119" s="203">
        <f t="shared" si="38"/>
        <v>0</v>
      </c>
      <c r="G119" s="200">
        <v>0</v>
      </c>
      <c r="H119" s="200">
        <v>0</v>
      </c>
      <c r="I119" s="200">
        <v>0</v>
      </c>
      <c r="J119" s="200">
        <v>0</v>
      </c>
      <c r="K119" s="200">
        <v>0</v>
      </c>
      <c r="L119" s="200">
        <v>0</v>
      </c>
      <c r="M119" s="203">
        <f t="shared" si="21"/>
        <v>0</v>
      </c>
      <c r="N119" s="200">
        <v>0</v>
      </c>
      <c r="O119" s="200">
        <v>0</v>
      </c>
      <c r="P119" s="200">
        <v>0</v>
      </c>
      <c r="Q119" s="200">
        <v>0</v>
      </c>
      <c r="R119" s="200">
        <v>0</v>
      </c>
      <c r="S119" s="200">
        <v>0</v>
      </c>
      <c r="T119" s="200">
        <v>0</v>
      </c>
      <c r="U119" s="203">
        <f t="shared" si="22"/>
        <v>0</v>
      </c>
      <c r="V119" s="200">
        <v>0</v>
      </c>
      <c r="W119" s="200">
        <v>0</v>
      </c>
      <c r="X119" s="200">
        <v>0</v>
      </c>
      <c r="Y119" s="200">
        <v>0</v>
      </c>
      <c r="Z119" s="200">
        <v>0</v>
      </c>
      <c r="AA119" s="200">
        <v>0</v>
      </c>
      <c r="AB119" s="200">
        <v>0</v>
      </c>
      <c r="AC119" s="203">
        <f t="shared" si="23"/>
        <v>0</v>
      </c>
      <c r="AD119" s="200">
        <v>0</v>
      </c>
      <c r="AE119" s="200">
        <v>0</v>
      </c>
      <c r="AF119" s="200">
        <v>0</v>
      </c>
      <c r="AG119" s="200">
        <v>0</v>
      </c>
      <c r="AH119" s="203">
        <f t="shared" si="24"/>
        <v>0</v>
      </c>
      <c r="AI119" s="200">
        <v>0</v>
      </c>
      <c r="AJ119" s="200">
        <v>0</v>
      </c>
      <c r="AK119" s="200">
        <v>0</v>
      </c>
      <c r="AL119" s="200">
        <v>0</v>
      </c>
      <c r="AM119" s="200">
        <v>0</v>
      </c>
      <c r="AN119" s="200">
        <v>0</v>
      </c>
      <c r="AO119" s="200">
        <v>0</v>
      </c>
      <c r="AP119" s="200">
        <v>0</v>
      </c>
      <c r="AQ119" s="200">
        <v>0</v>
      </c>
      <c r="AR119" s="203">
        <f t="shared" si="25"/>
        <v>0</v>
      </c>
      <c r="AS119" s="203">
        <f t="shared" si="26"/>
        <v>0</v>
      </c>
      <c r="AT119" s="200">
        <v>0</v>
      </c>
      <c r="AU119" s="200">
        <v>0</v>
      </c>
      <c r="AV119" s="200">
        <v>0</v>
      </c>
      <c r="AW119" s="200">
        <v>0</v>
      </c>
      <c r="AX119" s="200">
        <v>0</v>
      </c>
      <c r="AY119" s="200">
        <v>0</v>
      </c>
      <c r="AZ119" s="203">
        <f t="shared" si="27"/>
        <v>0</v>
      </c>
      <c r="BA119" s="200">
        <v>0</v>
      </c>
      <c r="BB119" s="200">
        <v>0</v>
      </c>
      <c r="BC119" s="200">
        <v>0</v>
      </c>
      <c r="BD119" s="200">
        <v>0</v>
      </c>
      <c r="BE119" s="200">
        <v>0</v>
      </c>
      <c r="BF119" s="200">
        <v>0</v>
      </c>
      <c r="BG119" s="200">
        <v>0</v>
      </c>
      <c r="BH119" s="200">
        <v>0</v>
      </c>
      <c r="BI119" s="200">
        <v>0</v>
      </c>
      <c r="BJ119" s="203">
        <f t="shared" si="28"/>
        <v>0</v>
      </c>
      <c r="BK119" s="203">
        <f t="shared" si="29"/>
        <v>0</v>
      </c>
      <c r="BL119" s="203">
        <f>$BO$9+SUMPRODUCT($D$10:D119,$BK$10:BK119)</f>
        <v>8046522.2985823154</v>
      </c>
      <c r="BM119" s="202">
        <f t="shared" si="30"/>
        <v>5.85</v>
      </c>
      <c r="BN119" s="203">
        <f t="shared" si="33"/>
        <v>229737064.38675001</v>
      </c>
      <c r="BO119" s="204">
        <f t="shared" si="31"/>
        <v>4156866370.1431198</v>
      </c>
      <c r="BP119" s="201">
        <f t="shared" si="34"/>
        <v>0</v>
      </c>
      <c r="BQ119" s="201">
        <f t="shared" si="35"/>
        <v>0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4">
      <c r="A120" s="165">
        <f t="shared" si="39"/>
        <v>111</v>
      </c>
      <c r="B120" s="166">
        <f t="shared" si="39"/>
        <v>2130</v>
      </c>
      <c r="C120" s="29">
        <v>5.85</v>
      </c>
      <c r="D120" s="164">
        <f t="shared" si="36"/>
        <v>1.81E-3</v>
      </c>
      <c r="E120" s="200">
        <v>0</v>
      </c>
      <c r="F120" s="203">
        <f t="shared" si="38"/>
        <v>0</v>
      </c>
      <c r="G120" s="200">
        <v>0</v>
      </c>
      <c r="H120" s="200">
        <v>0</v>
      </c>
      <c r="I120" s="200">
        <v>0</v>
      </c>
      <c r="J120" s="200">
        <v>0</v>
      </c>
      <c r="K120" s="200">
        <v>0</v>
      </c>
      <c r="L120" s="200">
        <v>0</v>
      </c>
      <c r="M120" s="203">
        <f t="shared" si="21"/>
        <v>0</v>
      </c>
      <c r="N120" s="200">
        <v>0</v>
      </c>
      <c r="O120" s="200">
        <v>0</v>
      </c>
      <c r="P120" s="200">
        <v>0</v>
      </c>
      <c r="Q120" s="200">
        <v>0</v>
      </c>
      <c r="R120" s="200">
        <v>0</v>
      </c>
      <c r="S120" s="200">
        <v>0</v>
      </c>
      <c r="T120" s="200">
        <v>0</v>
      </c>
      <c r="U120" s="203">
        <f t="shared" si="22"/>
        <v>0</v>
      </c>
      <c r="V120" s="200">
        <v>0</v>
      </c>
      <c r="W120" s="200">
        <v>0</v>
      </c>
      <c r="X120" s="200">
        <v>0</v>
      </c>
      <c r="Y120" s="200">
        <v>0</v>
      </c>
      <c r="Z120" s="200">
        <v>0</v>
      </c>
      <c r="AA120" s="200">
        <v>0</v>
      </c>
      <c r="AB120" s="200">
        <v>0</v>
      </c>
      <c r="AC120" s="203">
        <f t="shared" si="23"/>
        <v>0</v>
      </c>
      <c r="AD120" s="200">
        <v>0</v>
      </c>
      <c r="AE120" s="200">
        <v>0</v>
      </c>
      <c r="AF120" s="200">
        <v>0</v>
      </c>
      <c r="AG120" s="200">
        <v>0</v>
      </c>
      <c r="AH120" s="203">
        <f t="shared" si="24"/>
        <v>0</v>
      </c>
      <c r="AI120" s="200">
        <v>0</v>
      </c>
      <c r="AJ120" s="200">
        <v>0</v>
      </c>
      <c r="AK120" s="200">
        <v>0</v>
      </c>
      <c r="AL120" s="200">
        <v>0</v>
      </c>
      <c r="AM120" s="200">
        <v>0</v>
      </c>
      <c r="AN120" s="200">
        <v>0</v>
      </c>
      <c r="AO120" s="200">
        <v>0</v>
      </c>
      <c r="AP120" s="200">
        <v>0</v>
      </c>
      <c r="AQ120" s="200">
        <v>0</v>
      </c>
      <c r="AR120" s="203">
        <f t="shared" si="25"/>
        <v>0</v>
      </c>
      <c r="AS120" s="203">
        <f t="shared" si="26"/>
        <v>0</v>
      </c>
      <c r="AT120" s="200">
        <v>0</v>
      </c>
      <c r="AU120" s="200">
        <v>0</v>
      </c>
      <c r="AV120" s="200">
        <v>0</v>
      </c>
      <c r="AW120" s="200">
        <v>0</v>
      </c>
      <c r="AX120" s="200">
        <v>0</v>
      </c>
      <c r="AY120" s="200">
        <v>0</v>
      </c>
      <c r="AZ120" s="203">
        <f t="shared" si="27"/>
        <v>0</v>
      </c>
      <c r="BA120" s="200">
        <v>0</v>
      </c>
      <c r="BB120" s="200">
        <v>0</v>
      </c>
      <c r="BC120" s="200">
        <v>0</v>
      </c>
      <c r="BD120" s="200">
        <v>0</v>
      </c>
      <c r="BE120" s="200">
        <v>0</v>
      </c>
      <c r="BF120" s="200">
        <v>0</v>
      </c>
      <c r="BG120" s="200">
        <v>0</v>
      </c>
      <c r="BH120" s="200">
        <v>0</v>
      </c>
      <c r="BI120" s="200">
        <v>0</v>
      </c>
      <c r="BJ120" s="203">
        <f t="shared" si="28"/>
        <v>0</v>
      </c>
      <c r="BK120" s="203">
        <f t="shared" si="29"/>
        <v>0</v>
      </c>
      <c r="BL120" s="203">
        <f>$BO$9+SUMPRODUCT($D$10:D120,$BK$10:BK120)</f>
        <v>8046522.2985823154</v>
      </c>
      <c r="BM120" s="202">
        <f t="shared" si="30"/>
        <v>5.85</v>
      </c>
      <c r="BN120" s="203">
        <f t="shared" si="33"/>
        <v>243176682.65336999</v>
      </c>
      <c r="BO120" s="204">
        <f t="shared" si="31"/>
        <v>4400043052.7964897</v>
      </c>
      <c r="BP120" s="201">
        <f t="shared" si="34"/>
        <v>0</v>
      </c>
      <c r="BQ120" s="201">
        <f t="shared" si="35"/>
        <v>0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</row>
    <row r="121" spans="1:1024">
      <c r="A121" s="165">
        <f t="shared" si="39"/>
        <v>112</v>
      </c>
      <c r="B121" s="166">
        <f t="shared" si="39"/>
        <v>2131</v>
      </c>
      <c r="C121" s="29">
        <v>5.85</v>
      </c>
      <c r="D121" s="164">
        <f t="shared" si="36"/>
        <v>1.7099999999999999E-3</v>
      </c>
      <c r="E121" s="200">
        <v>0</v>
      </c>
      <c r="F121" s="203">
        <f t="shared" si="38"/>
        <v>0</v>
      </c>
      <c r="G121" s="200">
        <v>0</v>
      </c>
      <c r="H121" s="200">
        <v>0</v>
      </c>
      <c r="I121" s="200">
        <v>0</v>
      </c>
      <c r="J121" s="200">
        <v>0</v>
      </c>
      <c r="K121" s="200">
        <v>0</v>
      </c>
      <c r="L121" s="200">
        <v>0</v>
      </c>
      <c r="M121" s="203">
        <f t="shared" si="21"/>
        <v>0</v>
      </c>
      <c r="N121" s="200">
        <v>0</v>
      </c>
      <c r="O121" s="200">
        <v>0</v>
      </c>
      <c r="P121" s="200">
        <v>0</v>
      </c>
      <c r="Q121" s="200">
        <v>0</v>
      </c>
      <c r="R121" s="200">
        <v>0</v>
      </c>
      <c r="S121" s="200">
        <v>0</v>
      </c>
      <c r="T121" s="200">
        <v>0</v>
      </c>
      <c r="U121" s="203">
        <f t="shared" si="22"/>
        <v>0</v>
      </c>
      <c r="V121" s="200">
        <v>0</v>
      </c>
      <c r="W121" s="200">
        <v>0</v>
      </c>
      <c r="X121" s="200">
        <v>0</v>
      </c>
      <c r="Y121" s="200">
        <v>0</v>
      </c>
      <c r="Z121" s="200">
        <v>0</v>
      </c>
      <c r="AA121" s="200">
        <v>0</v>
      </c>
      <c r="AB121" s="200">
        <v>0</v>
      </c>
      <c r="AC121" s="203">
        <f t="shared" si="23"/>
        <v>0</v>
      </c>
      <c r="AD121" s="200">
        <v>0</v>
      </c>
      <c r="AE121" s="200">
        <v>0</v>
      </c>
      <c r="AF121" s="200">
        <v>0</v>
      </c>
      <c r="AG121" s="200">
        <v>0</v>
      </c>
      <c r="AH121" s="203">
        <f t="shared" si="24"/>
        <v>0</v>
      </c>
      <c r="AI121" s="200">
        <v>0</v>
      </c>
      <c r="AJ121" s="200">
        <v>0</v>
      </c>
      <c r="AK121" s="200">
        <v>0</v>
      </c>
      <c r="AL121" s="200">
        <v>0</v>
      </c>
      <c r="AM121" s="200">
        <v>0</v>
      </c>
      <c r="AN121" s="200">
        <v>0</v>
      </c>
      <c r="AO121" s="200">
        <v>0</v>
      </c>
      <c r="AP121" s="200">
        <v>0</v>
      </c>
      <c r="AQ121" s="200">
        <v>0</v>
      </c>
      <c r="AR121" s="203">
        <f t="shared" si="25"/>
        <v>0</v>
      </c>
      <c r="AS121" s="203">
        <f t="shared" si="26"/>
        <v>0</v>
      </c>
      <c r="AT121" s="200">
        <v>0</v>
      </c>
      <c r="AU121" s="200">
        <v>0</v>
      </c>
      <c r="AV121" s="200">
        <v>0</v>
      </c>
      <c r="AW121" s="200">
        <v>0</v>
      </c>
      <c r="AX121" s="200">
        <v>0</v>
      </c>
      <c r="AY121" s="200">
        <v>0</v>
      </c>
      <c r="AZ121" s="203">
        <f t="shared" si="27"/>
        <v>0</v>
      </c>
      <c r="BA121" s="200">
        <v>0</v>
      </c>
      <c r="BB121" s="200">
        <v>0</v>
      </c>
      <c r="BC121" s="200">
        <v>0</v>
      </c>
      <c r="BD121" s="200">
        <v>0</v>
      </c>
      <c r="BE121" s="200">
        <v>0</v>
      </c>
      <c r="BF121" s="200">
        <v>0</v>
      </c>
      <c r="BG121" s="200">
        <v>0</v>
      </c>
      <c r="BH121" s="200">
        <v>0</v>
      </c>
      <c r="BI121" s="200">
        <v>0</v>
      </c>
      <c r="BJ121" s="203">
        <f t="shared" si="28"/>
        <v>0</v>
      </c>
      <c r="BK121" s="203">
        <f t="shared" si="29"/>
        <v>0</v>
      </c>
      <c r="BL121" s="203">
        <f>$BO$9+SUMPRODUCT($D$10:D121,$BK$10:BK121)</f>
        <v>8046522.2985823154</v>
      </c>
      <c r="BM121" s="202">
        <f t="shared" si="30"/>
        <v>5.85</v>
      </c>
      <c r="BN121" s="203">
        <f t="shared" si="33"/>
        <v>257402518.58860001</v>
      </c>
      <c r="BO121" s="204">
        <f t="shared" si="31"/>
        <v>4657445571.3850899</v>
      </c>
      <c r="BP121" s="201">
        <f t="shared" si="34"/>
        <v>0</v>
      </c>
      <c r="BQ121" s="201">
        <f t="shared" si="35"/>
        <v>0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>
      <c r="A122" s="165">
        <f t="shared" si="39"/>
        <v>113</v>
      </c>
      <c r="B122" s="166">
        <f t="shared" si="39"/>
        <v>2132</v>
      </c>
      <c r="C122" s="29">
        <v>5.85</v>
      </c>
      <c r="D122" s="164">
        <f t="shared" si="36"/>
        <v>1.6199999999999999E-3</v>
      </c>
      <c r="E122" s="200">
        <v>0</v>
      </c>
      <c r="F122" s="203">
        <f t="shared" si="38"/>
        <v>0</v>
      </c>
      <c r="G122" s="200">
        <v>0</v>
      </c>
      <c r="H122" s="200">
        <v>0</v>
      </c>
      <c r="I122" s="200">
        <v>0</v>
      </c>
      <c r="J122" s="200">
        <v>0</v>
      </c>
      <c r="K122" s="200">
        <v>0</v>
      </c>
      <c r="L122" s="200">
        <v>0</v>
      </c>
      <c r="M122" s="203">
        <f t="shared" si="21"/>
        <v>0</v>
      </c>
      <c r="N122" s="200">
        <v>0</v>
      </c>
      <c r="O122" s="200">
        <v>0</v>
      </c>
      <c r="P122" s="200">
        <v>0</v>
      </c>
      <c r="Q122" s="200">
        <v>0</v>
      </c>
      <c r="R122" s="200">
        <v>0</v>
      </c>
      <c r="S122" s="200">
        <v>0</v>
      </c>
      <c r="T122" s="200">
        <v>0</v>
      </c>
      <c r="U122" s="203">
        <f t="shared" si="22"/>
        <v>0</v>
      </c>
      <c r="V122" s="200">
        <v>0</v>
      </c>
      <c r="W122" s="200">
        <v>0</v>
      </c>
      <c r="X122" s="200">
        <v>0</v>
      </c>
      <c r="Y122" s="200">
        <v>0</v>
      </c>
      <c r="Z122" s="200">
        <v>0</v>
      </c>
      <c r="AA122" s="200">
        <v>0</v>
      </c>
      <c r="AB122" s="200">
        <v>0</v>
      </c>
      <c r="AC122" s="203">
        <f t="shared" si="23"/>
        <v>0</v>
      </c>
      <c r="AD122" s="200">
        <v>0</v>
      </c>
      <c r="AE122" s="200">
        <v>0</v>
      </c>
      <c r="AF122" s="200">
        <v>0</v>
      </c>
      <c r="AG122" s="200">
        <v>0</v>
      </c>
      <c r="AH122" s="203">
        <f t="shared" si="24"/>
        <v>0</v>
      </c>
      <c r="AI122" s="200">
        <v>0</v>
      </c>
      <c r="AJ122" s="200">
        <v>0</v>
      </c>
      <c r="AK122" s="200">
        <v>0</v>
      </c>
      <c r="AL122" s="200">
        <v>0</v>
      </c>
      <c r="AM122" s="200">
        <v>0</v>
      </c>
      <c r="AN122" s="200">
        <v>0</v>
      </c>
      <c r="AO122" s="200">
        <v>0</v>
      </c>
      <c r="AP122" s="200">
        <v>0</v>
      </c>
      <c r="AQ122" s="200">
        <v>0</v>
      </c>
      <c r="AR122" s="203">
        <f t="shared" si="25"/>
        <v>0</v>
      </c>
      <c r="AS122" s="203">
        <f t="shared" si="26"/>
        <v>0</v>
      </c>
      <c r="AT122" s="200">
        <v>0</v>
      </c>
      <c r="AU122" s="200">
        <v>0</v>
      </c>
      <c r="AV122" s="200">
        <v>0</v>
      </c>
      <c r="AW122" s="200">
        <v>0</v>
      </c>
      <c r="AX122" s="200">
        <v>0</v>
      </c>
      <c r="AY122" s="200">
        <v>0</v>
      </c>
      <c r="AZ122" s="203">
        <f t="shared" si="27"/>
        <v>0</v>
      </c>
      <c r="BA122" s="200">
        <v>0</v>
      </c>
      <c r="BB122" s="200">
        <v>0</v>
      </c>
      <c r="BC122" s="200">
        <v>0</v>
      </c>
      <c r="BD122" s="200">
        <v>0</v>
      </c>
      <c r="BE122" s="200">
        <v>0</v>
      </c>
      <c r="BF122" s="200">
        <v>0</v>
      </c>
      <c r="BG122" s="200">
        <v>0</v>
      </c>
      <c r="BH122" s="200">
        <v>0</v>
      </c>
      <c r="BI122" s="200">
        <v>0</v>
      </c>
      <c r="BJ122" s="203">
        <f t="shared" si="28"/>
        <v>0</v>
      </c>
      <c r="BK122" s="203">
        <f t="shared" si="29"/>
        <v>0</v>
      </c>
      <c r="BL122" s="203">
        <f>$BO$9+SUMPRODUCT($D$10:D122,$BK$10:BK122)</f>
        <v>8046522.2985823154</v>
      </c>
      <c r="BM122" s="202">
        <f t="shared" si="30"/>
        <v>5.85</v>
      </c>
      <c r="BN122" s="203">
        <f t="shared" si="33"/>
        <v>272460565.92602998</v>
      </c>
      <c r="BO122" s="204">
        <f t="shared" si="31"/>
        <v>4929906137.31112</v>
      </c>
      <c r="BP122" s="201">
        <f t="shared" si="34"/>
        <v>0</v>
      </c>
      <c r="BQ122" s="201">
        <f t="shared" si="35"/>
        <v>0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>
      <c r="A123" s="165">
        <f t="shared" ref="A123:B138" si="40">A122+1</f>
        <v>114</v>
      </c>
      <c r="B123" s="166">
        <f t="shared" si="40"/>
        <v>2133</v>
      </c>
      <c r="C123" s="29">
        <v>5.85</v>
      </c>
      <c r="D123" s="164">
        <f t="shared" si="36"/>
        <v>1.5299999999999999E-3</v>
      </c>
      <c r="E123" s="200">
        <v>0</v>
      </c>
      <c r="F123" s="203">
        <f t="shared" si="38"/>
        <v>0</v>
      </c>
      <c r="G123" s="200">
        <v>0</v>
      </c>
      <c r="H123" s="200">
        <v>0</v>
      </c>
      <c r="I123" s="200">
        <v>0</v>
      </c>
      <c r="J123" s="200">
        <v>0</v>
      </c>
      <c r="K123" s="200">
        <v>0</v>
      </c>
      <c r="L123" s="200">
        <v>0</v>
      </c>
      <c r="M123" s="203">
        <f t="shared" si="21"/>
        <v>0</v>
      </c>
      <c r="N123" s="200">
        <v>0</v>
      </c>
      <c r="O123" s="200">
        <v>0</v>
      </c>
      <c r="P123" s="200">
        <v>0</v>
      </c>
      <c r="Q123" s="200">
        <v>0</v>
      </c>
      <c r="R123" s="200">
        <v>0</v>
      </c>
      <c r="S123" s="200">
        <v>0</v>
      </c>
      <c r="T123" s="200">
        <v>0</v>
      </c>
      <c r="U123" s="203">
        <f t="shared" si="22"/>
        <v>0</v>
      </c>
      <c r="V123" s="200">
        <v>0</v>
      </c>
      <c r="W123" s="200">
        <v>0</v>
      </c>
      <c r="X123" s="200">
        <v>0</v>
      </c>
      <c r="Y123" s="200">
        <v>0</v>
      </c>
      <c r="Z123" s="200">
        <v>0</v>
      </c>
      <c r="AA123" s="200">
        <v>0</v>
      </c>
      <c r="AB123" s="200">
        <v>0</v>
      </c>
      <c r="AC123" s="203">
        <f t="shared" si="23"/>
        <v>0</v>
      </c>
      <c r="AD123" s="200">
        <v>0</v>
      </c>
      <c r="AE123" s="200">
        <v>0</v>
      </c>
      <c r="AF123" s="200">
        <v>0</v>
      </c>
      <c r="AG123" s="200">
        <v>0</v>
      </c>
      <c r="AH123" s="203">
        <f t="shared" si="24"/>
        <v>0</v>
      </c>
      <c r="AI123" s="200">
        <v>0</v>
      </c>
      <c r="AJ123" s="200">
        <v>0</v>
      </c>
      <c r="AK123" s="200">
        <v>0</v>
      </c>
      <c r="AL123" s="200">
        <v>0</v>
      </c>
      <c r="AM123" s="200">
        <v>0</v>
      </c>
      <c r="AN123" s="200">
        <v>0</v>
      </c>
      <c r="AO123" s="200">
        <v>0</v>
      </c>
      <c r="AP123" s="200">
        <v>0</v>
      </c>
      <c r="AQ123" s="200">
        <v>0</v>
      </c>
      <c r="AR123" s="203">
        <f t="shared" si="25"/>
        <v>0</v>
      </c>
      <c r="AS123" s="203">
        <f t="shared" si="26"/>
        <v>0</v>
      </c>
      <c r="AT123" s="200">
        <v>0</v>
      </c>
      <c r="AU123" s="200">
        <v>0</v>
      </c>
      <c r="AV123" s="200">
        <v>0</v>
      </c>
      <c r="AW123" s="200">
        <v>0</v>
      </c>
      <c r="AX123" s="200">
        <v>0</v>
      </c>
      <c r="AY123" s="200">
        <v>0</v>
      </c>
      <c r="AZ123" s="203">
        <f t="shared" si="27"/>
        <v>0</v>
      </c>
      <c r="BA123" s="200">
        <v>0</v>
      </c>
      <c r="BB123" s="200">
        <v>0</v>
      </c>
      <c r="BC123" s="200">
        <v>0</v>
      </c>
      <c r="BD123" s="200">
        <v>0</v>
      </c>
      <c r="BE123" s="200">
        <v>0</v>
      </c>
      <c r="BF123" s="200">
        <v>0</v>
      </c>
      <c r="BG123" s="200">
        <v>0</v>
      </c>
      <c r="BH123" s="200">
        <v>0</v>
      </c>
      <c r="BI123" s="200">
        <v>0</v>
      </c>
      <c r="BJ123" s="203">
        <f t="shared" si="28"/>
        <v>0</v>
      </c>
      <c r="BK123" s="203">
        <f t="shared" si="29"/>
        <v>0</v>
      </c>
      <c r="BL123" s="203">
        <f>$BO$9+SUMPRODUCT($D$10:D123,$BK$10:BK123)</f>
        <v>8046522.2985823154</v>
      </c>
      <c r="BM123" s="202">
        <f t="shared" si="30"/>
        <v>5.85</v>
      </c>
      <c r="BN123" s="203">
        <f t="shared" si="33"/>
        <v>288399509.0327</v>
      </c>
      <c r="BO123" s="204">
        <f t="shared" si="31"/>
        <v>5218305646.3438196</v>
      </c>
      <c r="BP123" s="201">
        <f t="shared" si="34"/>
        <v>0</v>
      </c>
      <c r="BQ123" s="201">
        <f t="shared" si="35"/>
        <v>0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>
      <c r="A124" s="165">
        <f t="shared" si="40"/>
        <v>115</v>
      </c>
      <c r="B124" s="166">
        <f t="shared" si="40"/>
        <v>2134</v>
      </c>
      <c r="C124" s="29">
        <v>5.85</v>
      </c>
      <c r="D124" s="164">
        <f t="shared" si="36"/>
        <v>1.4499999999999999E-3</v>
      </c>
      <c r="E124" s="200">
        <v>0</v>
      </c>
      <c r="F124" s="203">
        <f t="shared" si="38"/>
        <v>0</v>
      </c>
      <c r="G124" s="200">
        <v>0</v>
      </c>
      <c r="H124" s="200">
        <v>0</v>
      </c>
      <c r="I124" s="200">
        <v>0</v>
      </c>
      <c r="J124" s="200">
        <v>0</v>
      </c>
      <c r="K124" s="200">
        <v>0</v>
      </c>
      <c r="L124" s="200">
        <v>0</v>
      </c>
      <c r="M124" s="203">
        <f t="shared" si="21"/>
        <v>0</v>
      </c>
      <c r="N124" s="200">
        <v>0</v>
      </c>
      <c r="O124" s="200">
        <v>0</v>
      </c>
      <c r="P124" s="200">
        <v>0</v>
      </c>
      <c r="Q124" s="200">
        <v>0</v>
      </c>
      <c r="R124" s="200">
        <v>0</v>
      </c>
      <c r="S124" s="200">
        <v>0</v>
      </c>
      <c r="T124" s="200">
        <v>0</v>
      </c>
      <c r="U124" s="203">
        <f t="shared" si="22"/>
        <v>0</v>
      </c>
      <c r="V124" s="200">
        <v>0</v>
      </c>
      <c r="W124" s="200">
        <v>0</v>
      </c>
      <c r="X124" s="200">
        <v>0</v>
      </c>
      <c r="Y124" s="200">
        <v>0</v>
      </c>
      <c r="Z124" s="200">
        <v>0</v>
      </c>
      <c r="AA124" s="200">
        <v>0</v>
      </c>
      <c r="AB124" s="200">
        <v>0</v>
      </c>
      <c r="AC124" s="203">
        <f t="shared" si="23"/>
        <v>0</v>
      </c>
      <c r="AD124" s="200">
        <v>0</v>
      </c>
      <c r="AE124" s="200">
        <v>0</v>
      </c>
      <c r="AF124" s="200">
        <v>0</v>
      </c>
      <c r="AG124" s="200">
        <v>0</v>
      </c>
      <c r="AH124" s="203">
        <f t="shared" si="24"/>
        <v>0</v>
      </c>
      <c r="AI124" s="200">
        <v>0</v>
      </c>
      <c r="AJ124" s="200">
        <v>0</v>
      </c>
      <c r="AK124" s="200">
        <v>0</v>
      </c>
      <c r="AL124" s="200">
        <v>0</v>
      </c>
      <c r="AM124" s="200">
        <v>0</v>
      </c>
      <c r="AN124" s="200">
        <v>0</v>
      </c>
      <c r="AO124" s="200">
        <v>0</v>
      </c>
      <c r="AP124" s="200">
        <v>0</v>
      </c>
      <c r="AQ124" s="200">
        <v>0</v>
      </c>
      <c r="AR124" s="203">
        <f t="shared" si="25"/>
        <v>0</v>
      </c>
      <c r="AS124" s="203">
        <f t="shared" si="26"/>
        <v>0</v>
      </c>
      <c r="AT124" s="200">
        <v>0</v>
      </c>
      <c r="AU124" s="200">
        <v>0</v>
      </c>
      <c r="AV124" s="200">
        <v>0</v>
      </c>
      <c r="AW124" s="200">
        <v>0</v>
      </c>
      <c r="AX124" s="200">
        <v>0</v>
      </c>
      <c r="AY124" s="200">
        <v>0</v>
      </c>
      <c r="AZ124" s="203">
        <f t="shared" si="27"/>
        <v>0</v>
      </c>
      <c r="BA124" s="200">
        <v>0</v>
      </c>
      <c r="BB124" s="200">
        <v>0</v>
      </c>
      <c r="BC124" s="200">
        <v>0</v>
      </c>
      <c r="BD124" s="200">
        <v>0</v>
      </c>
      <c r="BE124" s="200">
        <v>0</v>
      </c>
      <c r="BF124" s="200">
        <v>0</v>
      </c>
      <c r="BG124" s="200">
        <v>0</v>
      </c>
      <c r="BH124" s="200">
        <v>0</v>
      </c>
      <c r="BI124" s="200">
        <v>0</v>
      </c>
      <c r="BJ124" s="203">
        <f t="shared" si="28"/>
        <v>0</v>
      </c>
      <c r="BK124" s="203">
        <f t="shared" si="29"/>
        <v>0</v>
      </c>
      <c r="BL124" s="203">
        <f>$BO$9+SUMPRODUCT($D$10:D124,$BK$10:BK124)</f>
        <v>8046522.2985823154</v>
      </c>
      <c r="BM124" s="202">
        <f t="shared" si="30"/>
        <v>5.85</v>
      </c>
      <c r="BN124" s="203">
        <f t="shared" si="33"/>
        <v>305270880.31111002</v>
      </c>
      <c r="BO124" s="204">
        <f t="shared" si="31"/>
        <v>5523576526.6549301</v>
      </c>
      <c r="BP124" s="201">
        <f t="shared" si="34"/>
        <v>0</v>
      </c>
      <c r="BQ124" s="201">
        <f t="shared" si="35"/>
        <v>0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5" spans="1:1024">
      <c r="A125" s="165">
        <f t="shared" si="40"/>
        <v>116</v>
      </c>
      <c r="B125" s="166">
        <f t="shared" si="40"/>
        <v>2135</v>
      </c>
      <c r="C125" s="29">
        <v>5.85</v>
      </c>
      <c r="D125" s="164">
        <f t="shared" si="36"/>
        <v>1.3699999999999999E-3</v>
      </c>
      <c r="E125" s="200">
        <v>0</v>
      </c>
      <c r="F125" s="203">
        <f t="shared" si="38"/>
        <v>0</v>
      </c>
      <c r="G125" s="200">
        <v>0</v>
      </c>
      <c r="H125" s="200">
        <v>0</v>
      </c>
      <c r="I125" s="200">
        <v>0</v>
      </c>
      <c r="J125" s="200">
        <v>0</v>
      </c>
      <c r="K125" s="200">
        <v>0</v>
      </c>
      <c r="L125" s="200">
        <v>0</v>
      </c>
      <c r="M125" s="203">
        <f t="shared" si="21"/>
        <v>0</v>
      </c>
      <c r="N125" s="200">
        <v>0</v>
      </c>
      <c r="O125" s="200">
        <v>0</v>
      </c>
      <c r="P125" s="200">
        <v>0</v>
      </c>
      <c r="Q125" s="200">
        <v>0</v>
      </c>
      <c r="R125" s="200">
        <v>0</v>
      </c>
      <c r="S125" s="200">
        <v>0</v>
      </c>
      <c r="T125" s="200">
        <v>0</v>
      </c>
      <c r="U125" s="203">
        <f t="shared" si="22"/>
        <v>0</v>
      </c>
      <c r="V125" s="200">
        <v>0</v>
      </c>
      <c r="W125" s="200">
        <v>0</v>
      </c>
      <c r="X125" s="200">
        <v>0</v>
      </c>
      <c r="Y125" s="200">
        <v>0</v>
      </c>
      <c r="Z125" s="200">
        <v>0</v>
      </c>
      <c r="AA125" s="200">
        <v>0</v>
      </c>
      <c r="AB125" s="200">
        <v>0</v>
      </c>
      <c r="AC125" s="203">
        <f t="shared" si="23"/>
        <v>0</v>
      </c>
      <c r="AD125" s="200">
        <v>0</v>
      </c>
      <c r="AE125" s="200">
        <v>0</v>
      </c>
      <c r="AF125" s="200">
        <v>0</v>
      </c>
      <c r="AG125" s="200">
        <v>0</v>
      </c>
      <c r="AH125" s="203">
        <f t="shared" si="24"/>
        <v>0</v>
      </c>
      <c r="AI125" s="200">
        <v>0</v>
      </c>
      <c r="AJ125" s="200">
        <v>0</v>
      </c>
      <c r="AK125" s="200">
        <v>0</v>
      </c>
      <c r="AL125" s="200">
        <v>0</v>
      </c>
      <c r="AM125" s="200">
        <v>0</v>
      </c>
      <c r="AN125" s="200">
        <v>0</v>
      </c>
      <c r="AO125" s="200">
        <v>0</v>
      </c>
      <c r="AP125" s="200">
        <v>0</v>
      </c>
      <c r="AQ125" s="200">
        <v>0</v>
      </c>
      <c r="AR125" s="203">
        <f t="shared" si="25"/>
        <v>0</v>
      </c>
      <c r="AS125" s="203">
        <f t="shared" si="26"/>
        <v>0</v>
      </c>
      <c r="AT125" s="200">
        <v>0</v>
      </c>
      <c r="AU125" s="200">
        <v>0</v>
      </c>
      <c r="AV125" s="200">
        <v>0</v>
      </c>
      <c r="AW125" s="200">
        <v>0</v>
      </c>
      <c r="AX125" s="200">
        <v>0</v>
      </c>
      <c r="AY125" s="200">
        <v>0</v>
      </c>
      <c r="AZ125" s="203">
        <f t="shared" si="27"/>
        <v>0</v>
      </c>
      <c r="BA125" s="200">
        <v>0</v>
      </c>
      <c r="BB125" s="200">
        <v>0</v>
      </c>
      <c r="BC125" s="200">
        <v>0</v>
      </c>
      <c r="BD125" s="200">
        <v>0</v>
      </c>
      <c r="BE125" s="200">
        <v>0</v>
      </c>
      <c r="BF125" s="200">
        <v>0</v>
      </c>
      <c r="BG125" s="200">
        <v>0</v>
      </c>
      <c r="BH125" s="200">
        <v>0</v>
      </c>
      <c r="BI125" s="200">
        <v>0</v>
      </c>
      <c r="BJ125" s="203">
        <f t="shared" si="28"/>
        <v>0</v>
      </c>
      <c r="BK125" s="203">
        <f t="shared" si="29"/>
        <v>0</v>
      </c>
      <c r="BL125" s="203">
        <f>$BO$9+SUMPRODUCT($D$10:D125,$BK$10:BK125)</f>
        <v>8046522.2985823154</v>
      </c>
      <c r="BM125" s="202">
        <f t="shared" si="30"/>
        <v>5.85</v>
      </c>
      <c r="BN125" s="203">
        <f t="shared" si="33"/>
        <v>323129226.80931002</v>
      </c>
      <c r="BO125" s="204">
        <f t="shared" si="31"/>
        <v>5846705753.4642401</v>
      </c>
      <c r="BP125" s="201">
        <f t="shared" si="34"/>
        <v>0</v>
      </c>
      <c r="BQ125" s="201">
        <f t="shared" si="35"/>
        <v>0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G125"/>
      <c r="AMH125"/>
      <c r="AMI125"/>
      <c r="AMJ125"/>
    </row>
    <row r="126" spans="1:1024">
      <c r="A126" s="165">
        <f t="shared" si="40"/>
        <v>117</v>
      </c>
      <c r="B126" s="166">
        <f t="shared" si="40"/>
        <v>2136</v>
      </c>
      <c r="C126" s="29">
        <v>5.85</v>
      </c>
      <c r="D126" s="164">
        <f t="shared" si="36"/>
        <v>1.2899999999999999E-3</v>
      </c>
      <c r="E126" s="200">
        <v>0</v>
      </c>
      <c r="F126" s="203">
        <f t="shared" si="38"/>
        <v>0</v>
      </c>
      <c r="G126" s="200">
        <v>0</v>
      </c>
      <c r="H126" s="200">
        <v>0</v>
      </c>
      <c r="I126" s="200">
        <v>0</v>
      </c>
      <c r="J126" s="200">
        <v>0</v>
      </c>
      <c r="K126" s="200">
        <v>0</v>
      </c>
      <c r="L126" s="200">
        <v>0</v>
      </c>
      <c r="M126" s="203">
        <f t="shared" si="21"/>
        <v>0</v>
      </c>
      <c r="N126" s="200">
        <v>0</v>
      </c>
      <c r="O126" s="200">
        <v>0</v>
      </c>
      <c r="P126" s="200">
        <v>0</v>
      </c>
      <c r="Q126" s="200">
        <v>0</v>
      </c>
      <c r="R126" s="200">
        <v>0</v>
      </c>
      <c r="S126" s="200">
        <v>0</v>
      </c>
      <c r="T126" s="200">
        <v>0</v>
      </c>
      <c r="U126" s="203">
        <f t="shared" si="22"/>
        <v>0</v>
      </c>
      <c r="V126" s="200">
        <v>0</v>
      </c>
      <c r="W126" s="200">
        <v>0</v>
      </c>
      <c r="X126" s="200">
        <v>0</v>
      </c>
      <c r="Y126" s="200">
        <v>0</v>
      </c>
      <c r="Z126" s="200">
        <v>0</v>
      </c>
      <c r="AA126" s="200">
        <v>0</v>
      </c>
      <c r="AB126" s="200">
        <v>0</v>
      </c>
      <c r="AC126" s="203">
        <f t="shared" si="23"/>
        <v>0</v>
      </c>
      <c r="AD126" s="200">
        <v>0</v>
      </c>
      <c r="AE126" s="200">
        <v>0</v>
      </c>
      <c r="AF126" s="200">
        <v>0</v>
      </c>
      <c r="AG126" s="200">
        <v>0</v>
      </c>
      <c r="AH126" s="203">
        <f t="shared" si="24"/>
        <v>0</v>
      </c>
      <c r="AI126" s="200">
        <v>0</v>
      </c>
      <c r="AJ126" s="200">
        <v>0</v>
      </c>
      <c r="AK126" s="200">
        <v>0</v>
      </c>
      <c r="AL126" s="200">
        <v>0</v>
      </c>
      <c r="AM126" s="200">
        <v>0</v>
      </c>
      <c r="AN126" s="200">
        <v>0</v>
      </c>
      <c r="AO126" s="200">
        <v>0</v>
      </c>
      <c r="AP126" s="200">
        <v>0</v>
      </c>
      <c r="AQ126" s="200">
        <v>0</v>
      </c>
      <c r="AR126" s="203">
        <f t="shared" si="25"/>
        <v>0</v>
      </c>
      <c r="AS126" s="203">
        <f t="shared" si="26"/>
        <v>0</v>
      </c>
      <c r="AT126" s="200">
        <v>0</v>
      </c>
      <c r="AU126" s="200">
        <v>0</v>
      </c>
      <c r="AV126" s="200">
        <v>0</v>
      </c>
      <c r="AW126" s="200">
        <v>0</v>
      </c>
      <c r="AX126" s="200">
        <v>0</v>
      </c>
      <c r="AY126" s="200">
        <v>0</v>
      </c>
      <c r="AZ126" s="203">
        <f t="shared" si="27"/>
        <v>0</v>
      </c>
      <c r="BA126" s="200">
        <v>0</v>
      </c>
      <c r="BB126" s="200">
        <v>0</v>
      </c>
      <c r="BC126" s="200">
        <v>0</v>
      </c>
      <c r="BD126" s="200">
        <v>0</v>
      </c>
      <c r="BE126" s="200">
        <v>0</v>
      </c>
      <c r="BF126" s="200">
        <v>0</v>
      </c>
      <c r="BG126" s="200">
        <v>0</v>
      </c>
      <c r="BH126" s="200">
        <v>0</v>
      </c>
      <c r="BI126" s="200">
        <v>0</v>
      </c>
      <c r="BJ126" s="203">
        <f t="shared" si="28"/>
        <v>0</v>
      </c>
      <c r="BK126" s="203">
        <f t="shared" si="29"/>
        <v>0</v>
      </c>
      <c r="BL126" s="203">
        <f>$BO$9+SUMPRODUCT($D$10:D126,$BK$10:BK126)</f>
        <v>8046522.2985823154</v>
      </c>
      <c r="BM126" s="202">
        <f t="shared" si="30"/>
        <v>5.85</v>
      </c>
      <c r="BN126" s="203">
        <f t="shared" si="33"/>
        <v>342032286.57766002</v>
      </c>
      <c r="BO126" s="204">
        <f t="shared" si="31"/>
        <v>6188738040.0418997</v>
      </c>
      <c r="BP126" s="201">
        <f t="shared" si="34"/>
        <v>0</v>
      </c>
      <c r="BQ126" s="201">
        <f t="shared" si="35"/>
        <v>0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>
      <c r="A127" s="165">
        <f t="shared" si="40"/>
        <v>118</v>
      </c>
      <c r="B127" s="166">
        <f t="shared" si="40"/>
        <v>2137</v>
      </c>
      <c r="C127" s="29">
        <v>5.85</v>
      </c>
      <c r="D127" s="164">
        <f t="shared" si="36"/>
        <v>1.2199999999999999E-3</v>
      </c>
      <c r="E127" s="200">
        <v>0</v>
      </c>
      <c r="F127" s="203">
        <f t="shared" si="38"/>
        <v>0</v>
      </c>
      <c r="G127" s="200">
        <v>0</v>
      </c>
      <c r="H127" s="200">
        <v>0</v>
      </c>
      <c r="I127" s="200">
        <v>0</v>
      </c>
      <c r="J127" s="200">
        <v>0</v>
      </c>
      <c r="K127" s="200">
        <v>0</v>
      </c>
      <c r="L127" s="200">
        <v>0</v>
      </c>
      <c r="M127" s="203">
        <f t="shared" si="21"/>
        <v>0</v>
      </c>
      <c r="N127" s="200">
        <v>0</v>
      </c>
      <c r="O127" s="200">
        <v>0</v>
      </c>
      <c r="P127" s="200">
        <v>0</v>
      </c>
      <c r="Q127" s="200">
        <v>0</v>
      </c>
      <c r="R127" s="200">
        <v>0</v>
      </c>
      <c r="S127" s="200">
        <v>0</v>
      </c>
      <c r="T127" s="200">
        <v>0</v>
      </c>
      <c r="U127" s="203">
        <f t="shared" si="22"/>
        <v>0</v>
      </c>
      <c r="V127" s="200">
        <v>0</v>
      </c>
      <c r="W127" s="200">
        <v>0</v>
      </c>
      <c r="X127" s="200">
        <v>0</v>
      </c>
      <c r="Y127" s="200">
        <v>0</v>
      </c>
      <c r="Z127" s="200">
        <v>0</v>
      </c>
      <c r="AA127" s="200">
        <v>0</v>
      </c>
      <c r="AB127" s="200">
        <v>0</v>
      </c>
      <c r="AC127" s="203">
        <f t="shared" si="23"/>
        <v>0</v>
      </c>
      <c r="AD127" s="200">
        <v>0</v>
      </c>
      <c r="AE127" s="200">
        <v>0</v>
      </c>
      <c r="AF127" s="200">
        <v>0</v>
      </c>
      <c r="AG127" s="200">
        <v>0</v>
      </c>
      <c r="AH127" s="203">
        <f t="shared" si="24"/>
        <v>0</v>
      </c>
      <c r="AI127" s="200">
        <v>0</v>
      </c>
      <c r="AJ127" s="200">
        <v>0</v>
      </c>
      <c r="AK127" s="200">
        <v>0</v>
      </c>
      <c r="AL127" s="200">
        <v>0</v>
      </c>
      <c r="AM127" s="200">
        <v>0</v>
      </c>
      <c r="AN127" s="200">
        <v>0</v>
      </c>
      <c r="AO127" s="200">
        <v>0</v>
      </c>
      <c r="AP127" s="200">
        <v>0</v>
      </c>
      <c r="AQ127" s="200">
        <v>0</v>
      </c>
      <c r="AR127" s="203">
        <f t="shared" si="25"/>
        <v>0</v>
      </c>
      <c r="AS127" s="203">
        <f t="shared" si="26"/>
        <v>0</v>
      </c>
      <c r="AT127" s="200">
        <v>0</v>
      </c>
      <c r="AU127" s="200">
        <v>0</v>
      </c>
      <c r="AV127" s="200">
        <v>0</v>
      </c>
      <c r="AW127" s="200">
        <v>0</v>
      </c>
      <c r="AX127" s="200">
        <v>0</v>
      </c>
      <c r="AY127" s="200">
        <v>0</v>
      </c>
      <c r="AZ127" s="203">
        <f t="shared" si="27"/>
        <v>0</v>
      </c>
      <c r="BA127" s="200">
        <v>0</v>
      </c>
      <c r="BB127" s="200">
        <v>0</v>
      </c>
      <c r="BC127" s="200">
        <v>0</v>
      </c>
      <c r="BD127" s="200">
        <v>0</v>
      </c>
      <c r="BE127" s="200">
        <v>0</v>
      </c>
      <c r="BF127" s="200">
        <v>0</v>
      </c>
      <c r="BG127" s="200">
        <v>0</v>
      </c>
      <c r="BH127" s="200">
        <v>0</v>
      </c>
      <c r="BI127" s="200">
        <v>0</v>
      </c>
      <c r="BJ127" s="203">
        <f t="shared" si="28"/>
        <v>0</v>
      </c>
      <c r="BK127" s="203">
        <f t="shared" si="29"/>
        <v>0</v>
      </c>
      <c r="BL127" s="203">
        <f>$BO$9+SUMPRODUCT($D$10:D127,$BK$10:BK127)</f>
        <v>8046522.2985823154</v>
      </c>
      <c r="BM127" s="202">
        <f t="shared" si="30"/>
        <v>5.85</v>
      </c>
      <c r="BN127" s="203">
        <f t="shared" si="33"/>
        <v>362041175.34245002</v>
      </c>
      <c r="BO127" s="204">
        <f t="shared" si="31"/>
        <v>6550779215.3843498</v>
      </c>
      <c r="BP127" s="201">
        <f t="shared" si="34"/>
        <v>0</v>
      </c>
      <c r="BQ127" s="201">
        <f t="shared" si="35"/>
        <v>0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>
      <c r="A128" s="165">
        <f t="shared" si="40"/>
        <v>119</v>
      </c>
      <c r="B128" s="166">
        <f t="shared" si="40"/>
        <v>2138</v>
      </c>
      <c r="C128" s="29">
        <v>5.85</v>
      </c>
      <c r="D128" s="164">
        <f t="shared" si="36"/>
        <v>1.15E-3</v>
      </c>
      <c r="E128" s="200">
        <v>0</v>
      </c>
      <c r="F128" s="203">
        <f t="shared" si="38"/>
        <v>0</v>
      </c>
      <c r="G128" s="200">
        <v>0</v>
      </c>
      <c r="H128" s="200">
        <v>0</v>
      </c>
      <c r="I128" s="200">
        <v>0</v>
      </c>
      <c r="J128" s="200">
        <v>0</v>
      </c>
      <c r="K128" s="200">
        <v>0</v>
      </c>
      <c r="L128" s="200">
        <v>0</v>
      </c>
      <c r="M128" s="203">
        <f t="shared" si="21"/>
        <v>0</v>
      </c>
      <c r="N128" s="200">
        <v>0</v>
      </c>
      <c r="O128" s="200">
        <v>0</v>
      </c>
      <c r="P128" s="200">
        <v>0</v>
      </c>
      <c r="Q128" s="200">
        <v>0</v>
      </c>
      <c r="R128" s="200">
        <v>0</v>
      </c>
      <c r="S128" s="200">
        <v>0</v>
      </c>
      <c r="T128" s="200">
        <v>0</v>
      </c>
      <c r="U128" s="203">
        <f t="shared" si="22"/>
        <v>0</v>
      </c>
      <c r="V128" s="200">
        <v>0</v>
      </c>
      <c r="W128" s="200">
        <v>0</v>
      </c>
      <c r="X128" s="200">
        <v>0</v>
      </c>
      <c r="Y128" s="200">
        <v>0</v>
      </c>
      <c r="Z128" s="200">
        <v>0</v>
      </c>
      <c r="AA128" s="200">
        <v>0</v>
      </c>
      <c r="AB128" s="200">
        <v>0</v>
      </c>
      <c r="AC128" s="203">
        <f t="shared" si="23"/>
        <v>0</v>
      </c>
      <c r="AD128" s="200">
        <v>0</v>
      </c>
      <c r="AE128" s="200">
        <v>0</v>
      </c>
      <c r="AF128" s="200">
        <v>0</v>
      </c>
      <c r="AG128" s="200">
        <v>0</v>
      </c>
      <c r="AH128" s="203">
        <f t="shared" si="24"/>
        <v>0</v>
      </c>
      <c r="AI128" s="200">
        <v>0</v>
      </c>
      <c r="AJ128" s="200">
        <v>0</v>
      </c>
      <c r="AK128" s="200">
        <v>0</v>
      </c>
      <c r="AL128" s="200">
        <v>0</v>
      </c>
      <c r="AM128" s="200">
        <v>0</v>
      </c>
      <c r="AN128" s="200">
        <v>0</v>
      </c>
      <c r="AO128" s="200">
        <v>0</v>
      </c>
      <c r="AP128" s="200">
        <v>0</v>
      </c>
      <c r="AQ128" s="200">
        <v>0</v>
      </c>
      <c r="AR128" s="203">
        <f t="shared" si="25"/>
        <v>0</v>
      </c>
      <c r="AS128" s="203">
        <f t="shared" si="26"/>
        <v>0</v>
      </c>
      <c r="AT128" s="200">
        <v>0</v>
      </c>
      <c r="AU128" s="200">
        <v>0</v>
      </c>
      <c r="AV128" s="200">
        <v>0</v>
      </c>
      <c r="AW128" s="200">
        <v>0</v>
      </c>
      <c r="AX128" s="200">
        <v>0</v>
      </c>
      <c r="AY128" s="200">
        <v>0</v>
      </c>
      <c r="AZ128" s="203">
        <f t="shared" si="27"/>
        <v>0</v>
      </c>
      <c r="BA128" s="200">
        <v>0</v>
      </c>
      <c r="BB128" s="200">
        <v>0</v>
      </c>
      <c r="BC128" s="200">
        <v>0</v>
      </c>
      <c r="BD128" s="200">
        <v>0</v>
      </c>
      <c r="BE128" s="200">
        <v>0</v>
      </c>
      <c r="BF128" s="200">
        <v>0</v>
      </c>
      <c r="BG128" s="200">
        <v>0</v>
      </c>
      <c r="BH128" s="200">
        <v>0</v>
      </c>
      <c r="BI128" s="200">
        <v>0</v>
      </c>
      <c r="BJ128" s="203">
        <f t="shared" si="28"/>
        <v>0</v>
      </c>
      <c r="BK128" s="203">
        <f t="shared" si="29"/>
        <v>0</v>
      </c>
      <c r="BL128" s="203">
        <f>$BO$9+SUMPRODUCT($D$10:D128,$BK$10:BK128)</f>
        <v>8046522.2985823154</v>
      </c>
      <c r="BM128" s="202">
        <f t="shared" si="30"/>
        <v>5.85</v>
      </c>
      <c r="BN128" s="203">
        <f t="shared" si="33"/>
        <v>383220584.09998</v>
      </c>
      <c r="BO128" s="204">
        <f t="shared" si="31"/>
        <v>6933999799.4843302</v>
      </c>
      <c r="BP128" s="201">
        <f t="shared" si="34"/>
        <v>0</v>
      </c>
      <c r="BQ128" s="201">
        <f t="shared" si="35"/>
        <v>0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>
      <c r="A129" s="165">
        <f t="shared" si="40"/>
        <v>120</v>
      </c>
      <c r="B129" s="166">
        <f t="shared" si="40"/>
        <v>2139</v>
      </c>
      <c r="C129" s="29">
        <v>5.85</v>
      </c>
      <c r="D129" s="164">
        <f t="shared" si="36"/>
        <v>1.09E-3</v>
      </c>
      <c r="E129" s="200">
        <v>0</v>
      </c>
      <c r="F129" s="203">
        <f t="shared" si="38"/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3">
        <f t="shared" si="21"/>
        <v>0</v>
      </c>
      <c r="N129" s="200">
        <v>0</v>
      </c>
      <c r="O129" s="200">
        <v>0</v>
      </c>
      <c r="P129" s="200">
        <v>0</v>
      </c>
      <c r="Q129" s="200">
        <v>0</v>
      </c>
      <c r="R129" s="200">
        <v>0</v>
      </c>
      <c r="S129" s="200">
        <v>0</v>
      </c>
      <c r="T129" s="200">
        <v>0</v>
      </c>
      <c r="U129" s="203">
        <f t="shared" si="22"/>
        <v>0</v>
      </c>
      <c r="V129" s="200">
        <v>0</v>
      </c>
      <c r="W129" s="200">
        <v>0</v>
      </c>
      <c r="X129" s="200">
        <v>0</v>
      </c>
      <c r="Y129" s="200">
        <v>0</v>
      </c>
      <c r="Z129" s="200">
        <v>0</v>
      </c>
      <c r="AA129" s="200">
        <v>0</v>
      </c>
      <c r="AB129" s="200">
        <v>0</v>
      </c>
      <c r="AC129" s="203">
        <f t="shared" si="23"/>
        <v>0</v>
      </c>
      <c r="AD129" s="200">
        <v>0</v>
      </c>
      <c r="AE129" s="200">
        <v>0</v>
      </c>
      <c r="AF129" s="200">
        <v>0</v>
      </c>
      <c r="AG129" s="200">
        <v>0</v>
      </c>
      <c r="AH129" s="203">
        <f t="shared" si="24"/>
        <v>0</v>
      </c>
      <c r="AI129" s="200">
        <v>0</v>
      </c>
      <c r="AJ129" s="200">
        <v>0</v>
      </c>
      <c r="AK129" s="200">
        <v>0</v>
      </c>
      <c r="AL129" s="200">
        <v>0</v>
      </c>
      <c r="AM129" s="200">
        <v>0</v>
      </c>
      <c r="AN129" s="200">
        <v>0</v>
      </c>
      <c r="AO129" s="200">
        <v>0</v>
      </c>
      <c r="AP129" s="200">
        <v>0</v>
      </c>
      <c r="AQ129" s="200">
        <v>0</v>
      </c>
      <c r="AR129" s="203">
        <f t="shared" si="25"/>
        <v>0</v>
      </c>
      <c r="AS129" s="203">
        <f t="shared" si="26"/>
        <v>0</v>
      </c>
      <c r="AT129" s="200">
        <v>0</v>
      </c>
      <c r="AU129" s="200">
        <v>0</v>
      </c>
      <c r="AV129" s="200">
        <v>0</v>
      </c>
      <c r="AW129" s="200">
        <v>0</v>
      </c>
      <c r="AX129" s="200">
        <v>0</v>
      </c>
      <c r="AY129" s="200">
        <v>0</v>
      </c>
      <c r="AZ129" s="203">
        <f t="shared" si="27"/>
        <v>0</v>
      </c>
      <c r="BA129" s="200">
        <v>0</v>
      </c>
      <c r="BB129" s="200">
        <v>0</v>
      </c>
      <c r="BC129" s="200">
        <v>0</v>
      </c>
      <c r="BD129" s="200">
        <v>0</v>
      </c>
      <c r="BE129" s="200">
        <v>0</v>
      </c>
      <c r="BF129" s="200">
        <v>0</v>
      </c>
      <c r="BG129" s="200">
        <v>0</v>
      </c>
      <c r="BH129" s="200">
        <v>0</v>
      </c>
      <c r="BI129" s="200">
        <v>0</v>
      </c>
      <c r="BJ129" s="203">
        <f t="shared" si="28"/>
        <v>0</v>
      </c>
      <c r="BK129" s="203">
        <f t="shared" si="29"/>
        <v>0</v>
      </c>
      <c r="BL129" s="203">
        <f>$BO$9+SUMPRODUCT($D$10:D129,$BK$10:BK129)</f>
        <v>8046522.2985823154</v>
      </c>
      <c r="BM129" s="202">
        <f t="shared" si="30"/>
        <v>5.85</v>
      </c>
      <c r="BN129" s="203">
        <f t="shared" si="33"/>
        <v>405638988.26982999</v>
      </c>
      <c r="BO129" s="204">
        <f t="shared" si="31"/>
        <v>7339638787.7541599</v>
      </c>
      <c r="BP129" s="201">
        <f t="shared" si="34"/>
        <v>0</v>
      </c>
      <c r="BQ129" s="201">
        <f t="shared" si="35"/>
        <v>0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>
      <c r="A130" s="165">
        <f t="shared" si="40"/>
        <v>121</v>
      </c>
      <c r="B130" s="166">
        <f t="shared" si="40"/>
        <v>2140</v>
      </c>
      <c r="C130" s="29">
        <v>5.85</v>
      </c>
      <c r="D130" s="164">
        <f t="shared" si="36"/>
        <v>1.0300000000000001E-3</v>
      </c>
      <c r="E130" s="200">
        <v>0</v>
      </c>
      <c r="F130" s="203">
        <f t="shared" si="38"/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3">
        <f t="shared" si="21"/>
        <v>0</v>
      </c>
      <c r="N130" s="200">
        <v>0</v>
      </c>
      <c r="O130" s="200">
        <v>0</v>
      </c>
      <c r="P130" s="200">
        <v>0</v>
      </c>
      <c r="Q130" s="200">
        <v>0</v>
      </c>
      <c r="R130" s="200">
        <v>0</v>
      </c>
      <c r="S130" s="200">
        <v>0</v>
      </c>
      <c r="T130" s="200">
        <v>0</v>
      </c>
      <c r="U130" s="203">
        <f t="shared" si="22"/>
        <v>0</v>
      </c>
      <c r="V130" s="200">
        <v>0</v>
      </c>
      <c r="W130" s="200">
        <v>0</v>
      </c>
      <c r="X130" s="200">
        <v>0</v>
      </c>
      <c r="Y130" s="200">
        <v>0</v>
      </c>
      <c r="Z130" s="200">
        <v>0</v>
      </c>
      <c r="AA130" s="200">
        <v>0</v>
      </c>
      <c r="AB130" s="200">
        <v>0</v>
      </c>
      <c r="AC130" s="203">
        <f t="shared" si="23"/>
        <v>0</v>
      </c>
      <c r="AD130" s="200">
        <v>0</v>
      </c>
      <c r="AE130" s="200">
        <v>0</v>
      </c>
      <c r="AF130" s="200">
        <v>0</v>
      </c>
      <c r="AG130" s="200">
        <v>0</v>
      </c>
      <c r="AH130" s="203">
        <f t="shared" si="24"/>
        <v>0</v>
      </c>
      <c r="AI130" s="200">
        <v>0</v>
      </c>
      <c r="AJ130" s="200">
        <v>0</v>
      </c>
      <c r="AK130" s="200">
        <v>0</v>
      </c>
      <c r="AL130" s="200">
        <v>0</v>
      </c>
      <c r="AM130" s="200">
        <v>0</v>
      </c>
      <c r="AN130" s="200">
        <v>0</v>
      </c>
      <c r="AO130" s="200">
        <v>0</v>
      </c>
      <c r="AP130" s="200">
        <v>0</v>
      </c>
      <c r="AQ130" s="200">
        <v>0</v>
      </c>
      <c r="AR130" s="203">
        <f t="shared" si="25"/>
        <v>0</v>
      </c>
      <c r="AS130" s="203">
        <f t="shared" si="26"/>
        <v>0</v>
      </c>
      <c r="AT130" s="200">
        <v>0</v>
      </c>
      <c r="AU130" s="200">
        <v>0</v>
      </c>
      <c r="AV130" s="200">
        <v>0</v>
      </c>
      <c r="AW130" s="200">
        <v>0</v>
      </c>
      <c r="AX130" s="200">
        <v>0</v>
      </c>
      <c r="AY130" s="200">
        <v>0</v>
      </c>
      <c r="AZ130" s="203">
        <f t="shared" si="27"/>
        <v>0</v>
      </c>
      <c r="BA130" s="200">
        <v>0</v>
      </c>
      <c r="BB130" s="200">
        <v>0</v>
      </c>
      <c r="BC130" s="200">
        <v>0</v>
      </c>
      <c r="BD130" s="200">
        <v>0</v>
      </c>
      <c r="BE130" s="200">
        <v>0</v>
      </c>
      <c r="BF130" s="200">
        <v>0</v>
      </c>
      <c r="BG130" s="200">
        <v>0</v>
      </c>
      <c r="BH130" s="200">
        <v>0</v>
      </c>
      <c r="BI130" s="200">
        <v>0</v>
      </c>
      <c r="BJ130" s="203">
        <f t="shared" si="28"/>
        <v>0</v>
      </c>
      <c r="BK130" s="203">
        <f t="shared" si="29"/>
        <v>0</v>
      </c>
      <c r="BL130" s="203">
        <f>$BO$9+SUMPRODUCT($D$10:D130,$BK$10:BK130)</f>
        <v>8046522.2985823154</v>
      </c>
      <c r="BM130" s="202">
        <f t="shared" si="30"/>
        <v>5.85</v>
      </c>
      <c r="BN130" s="203">
        <f t="shared" si="33"/>
        <v>429368869.08362001</v>
      </c>
      <c r="BO130" s="204">
        <f t="shared" si="31"/>
        <v>7769007656.83778</v>
      </c>
      <c r="BP130" s="201">
        <f t="shared" si="34"/>
        <v>0</v>
      </c>
      <c r="BQ130" s="201">
        <f t="shared" si="35"/>
        <v>0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>
      <c r="A131" s="165">
        <f t="shared" si="40"/>
        <v>122</v>
      </c>
      <c r="B131" s="166">
        <f t="shared" si="40"/>
        <v>2141</v>
      </c>
      <c r="C131" s="29">
        <v>5.85</v>
      </c>
      <c r="D131" s="164">
        <f t="shared" si="36"/>
        <v>9.7000000000000005E-4</v>
      </c>
      <c r="E131" s="200">
        <v>0</v>
      </c>
      <c r="F131" s="203">
        <f t="shared" si="38"/>
        <v>0</v>
      </c>
      <c r="G131" s="200">
        <v>0</v>
      </c>
      <c r="H131" s="200">
        <v>0</v>
      </c>
      <c r="I131" s="200">
        <v>0</v>
      </c>
      <c r="J131" s="200">
        <v>0</v>
      </c>
      <c r="K131" s="200">
        <v>0</v>
      </c>
      <c r="L131" s="200">
        <v>0</v>
      </c>
      <c r="M131" s="203">
        <f t="shared" si="21"/>
        <v>0</v>
      </c>
      <c r="N131" s="200">
        <v>0</v>
      </c>
      <c r="O131" s="200">
        <v>0</v>
      </c>
      <c r="P131" s="200">
        <v>0</v>
      </c>
      <c r="Q131" s="200">
        <v>0</v>
      </c>
      <c r="R131" s="200">
        <v>0</v>
      </c>
      <c r="S131" s="200">
        <v>0</v>
      </c>
      <c r="T131" s="200">
        <v>0</v>
      </c>
      <c r="U131" s="203">
        <f t="shared" si="22"/>
        <v>0</v>
      </c>
      <c r="V131" s="200">
        <v>0</v>
      </c>
      <c r="W131" s="200">
        <v>0</v>
      </c>
      <c r="X131" s="200">
        <v>0</v>
      </c>
      <c r="Y131" s="200">
        <v>0</v>
      </c>
      <c r="Z131" s="200">
        <v>0</v>
      </c>
      <c r="AA131" s="200">
        <v>0</v>
      </c>
      <c r="AB131" s="200">
        <v>0</v>
      </c>
      <c r="AC131" s="203">
        <f t="shared" si="23"/>
        <v>0</v>
      </c>
      <c r="AD131" s="200">
        <v>0</v>
      </c>
      <c r="AE131" s="200">
        <v>0</v>
      </c>
      <c r="AF131" s="200">
        <v>0</v>
      </c>
      <c r="AG131" s="200">
        <v>0</v>
      </c>
      <c r="AH131" s="203">
        <f t="shared" si="24"/>
        <v>0</v>
      </c>
      <c r="AI131" s="200">
        <v>0</v>
      </c>
      <c r="AJ131" s="200">
        <v>0</v>
      </c>
      <c r="AK131" s="200">
        <v>0</v>
      </c>
      <c r="AL131" s="200">
        <v>0</v>
      </c>
      <c r="AM131" s="200">
        <v>0</v>
      </c>
      <c r="AN131" s="200">
        <v>0</v>
      </c>
      <c r="AO131" s="200">
        <v>0</v>
      </c>
      <c r="AP131" s="200">
        <v>0</v>
      </c>
      <c r="AQ131" s="200">
        <v>0</v>
      </c>
      <c r="AR131" s="203">
        <f t="shared" si="25"/>
        <v>0</v>
      </c>
      <c r="AS131" s="203">
        <f t="shared" si="26"/>
        <v>0</v>
      </c>
      <c r="AT131" s="200">
        <v>0</v>
      </c>
      <c r="AU131" s="200">
        <v>0</v>
      </c>
      <c r="AV131" s="200">
        <v>0</v>
      </c>
      <c r="AW131" s="200">
        <v>0</v>
      </c>
      <c r="AX131" s="200">
        <v>0</v>
      </c>
      <c r="AY131" s="200">
        <v>0</v>
      </c>
      <c r="AZ131" s="203">
        <f t="shared" si="27"/>
        <v>0</v>
      </c>
      <c r="BA131" s="200">
        <v>0</v>
      </c>
      <c r="BB131" s="200">
        <v>0</v>
      </c>
      <c r="BC131" s="200">
        <v>0</v>
      </c>
      <c r="BD131" s="200">
        <v>0</v>
      </c>
      <c r="BE131" s="200">
        <v>0</v>
      </c>
      <c r="BF131" s="200">
        <v>0</v>
      </c>
      <c r="BG131" s="200">
        <v>0</v>
      </c>
      <c r="BH131" s="200">
        <v>0</v>
      </c>
      <c r="BI131" s="200">
        <v>0</v>
      </c>
      <c r="BJ131" s="203">
        <f t="shared" si="28"/>
        <v>0</v>
      </c>
      <c r="BK131" s="203">
        <f t="shared" si="29"/>
        <v>0</v>
      </c>
      <c r="BL131" s="203">
        <f>$BO$9+SUMPRODUCT($D$10:D131,$BK$10:BK131)</f>
        <v>8046522.2985823154</v>
      </c>
      <c r="BM131" s="202">
        <f t="shared" si="30"/>
        <v>5.85</v>
      </c>
      <c r="BN131" s="203">
        <f t="shared" si="33"/>
        <v>454486947.92501003</v>
      </c>
      <c r="BO131" s="204">
        <f t="shared" si="31"/>
        <v>8223494604.7627897</v>
      </c>
      <c r="BP131" s="201">
        <f t="shared" si="34"/>
        <v>0</v>
      </c>
      <c r="BQ131" s="201">
        <f t="shared" si="35"/>
        <v>0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>
      <c r="A132" s="165">
        <f t="shared" si="40"/>
        <v>123</v>
      </c>
      <c r="B132" s="166">
        <f t="shared" si="40"/>
        <v>2142</v>
      </c>
      <c r="C132" s="29">
        <v>5.85</v>
      </c>
      <c r="D132" s="164">
        <f t="shared" si="36"/>
        <v>9.2000000000000003E-4</v>
      </c>
      <c r="E132" s="200">
        <v>0</v>
      </c>
      <c r="F132" s="203">
        <f t="shared" si="38"/>
        <v>0</v>
      </c>
      <c r="G132" s="200">
        <v>0</v>
      </c>
      <c r="H132" s="200">
        <v>0</v>
      </c>
      <c r="I132" s="200">
        <v>0</v>
      </c>
      <c r="J132" s="200">
        <v>0</v>
      </c>
      <c r="K132" s="200">
        <v>0</v>
      </c>
      <c r="L132" s="200">
        <v>0</v>
      </c>
      <c r="M132" s="203">
        <f t="shared" si="21"/>
        <v>0</v>
      </c>
      <c r="N132" s="200">
        <v>0</v>
      </c>
      <c r="O132" s="200">
        <v>0</v>
      </c>
      <c r="P132" s="200">
        <v>0</v>
      </c>
      <c r="Q132" s="200">
        <v>0</v>
      </c>
      <c r="R132" s="200">
        <v>0</v>
      </c>
      <c r="S132" s="200">
        <v>0</v>
      </c>
      <c r="T132" s="200">
        <v>0</v>
      </c>
      <c r="U132" s="203">
        <f t="shared" si="22"/>
        <v>0</v>
      </c>
      <c r="V132" s="200">
        <v>0</v>
      </c>
      <c r="W132" s="200">
        <v>0</v>
      </c>
      <c r="X132" s="200">
        <v>0</v>
      </c>
      <c r="Y132" s="200">
        <v>0</v>
      </c>
      <c r="Z132" s="200">
        <v>0</v>
      </c>
      <c r="AA132" s="200">
        <v>0</v>
      </c>
      <c r="AB132" s="200">
        <v>0</v>
      </c>
      <c r="AC132" s="203">
        <f t="shared" si="23"/>
        <v>0</v>
      </c>
      <c r="AD132" s="200">
        <v>0</v>
      </c>
      <c r="AE132" s="200">
        <v>0</v>
      </c>
      <c r="AF132" s="200">
        <v>0</v>
      </c>
      <c r="AG132" s="200">
        <v>0</v>
      </c>
      <c r="AH132" s="203">
        <f t="shared" si="24"/>
        <v>0</v>
      </c>
      <c r="AI132" s="200">
        <v>0</v>
      </c>
      <c r="AJ132" s="200">
        <v>0</v>
      </c>
      <c r="AK132" s="200">
        <v>0</v>
      </c>
      <c r="AL132" s="200">
        <v>0</v>
      </c>
      <c r="AM132" s="200">
        <v>0</v>
      </c>
      <c r="AN132" s="200">
        <v>0</v>
      </c>
      <c r="AO132" s="200">
        <v>0</v>
      </c>
      <c r="AP132" s="200">
        <v>0</v>
      </c>
      <c r="AQ132" s="200">
        <v>0</v>
      </c>
      <c r="AR132" s="203">
        <f t="shared" si="25"/>
        <v>0</v>
      </c>
      <c r="AS132" s="203">
        <f t="shared" si="26"/>
        <v>0</v>
      </c>
      <c r="AT132" s="200">
        <v>0</v>
      </c>
      <c r="AU132" s="200">
        <v>0</v>
      </c>
      <c r="AV132" s="200">
        <v>0</v>
      </c>
      <c r="AW132" s="200">
        <v>0</v>
      </c>
      <c r="AX132" s="200">
        <v>0</v>
      </c>
      <c r="AY132" s="200">
        <v>0</v>
      </c>
      <c r="AZ132" s="203">
        <f t="shared" si="27"/>
        <v>0</v>
      </c>
      <c r="BA132" s="200">
        <v>0</v>
      </c>
      <c r="BB132" s="200">
        <v>0</v>
      </c>
      <c r="BC132" s="200">
        <v>0</v>
      </c>
      <c r="BD132" s="200">
        <v>0</v>
      </c>
      <c r="BE132" s="200">
        <v>0</v>
      </c>
      <c r="BF132" s="200">
        <v>0</v>
      </c>
      <c r="BG132" s="200">
        <v>0</v>
      </c>
      <c r="BH132" s="200">
        <v>0</v>
      </c>
      <c r="BI132" s="200">
        <v>0</v>
      </c>
      <c r="BJ132" s="203">
        <f t="shared" si="28"/>
        <v>0</v>
      </c>
      <c r="BK132" s="203">
        <f t="shared" si="29"/>
        <v>0</v>
      </c>
      <c r="BL132" s="203">
        <f>$BO$9+SUMPRODUCT($D$10:D132,$BK$10:BK132)</f>
        <v>8046522.2985823154</v>
      </c>
      <c r="BM132" s="202">
        <f t="shared" si="30"/>
        <v>5.85</v>
      </c>
      <c r="BN132" s="203">
        <f t="shared" si="33"/>
        <v>481074434.37862003</v>
      </c>
      <c r="BO132" s="204">
        <f t="shared" si="31"/>
        <v>8704569039.1414108</v>
      </c>
      <c r="BP132" s="201">
        <f t="shared" si="34"/>
        <v>0</v>
      </c>
      <c r="BQ132" s="201">
        <f t="shared" si="35"/>
        <v>0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>
      <c r="A133" s="165">
        <f t="shared" si="40"/>
        <v>124</v>
      </c>
      <c r="B133" s="166">
        <f t="shared" si="40"/>
        <v>2143</v>
      </c>
      <c r="C133" s="29">
        <v>5.85</v>
      </c>
      <c r="D133" s="164">
        <f t="shared" si="36"/>
        <v>8.7000000000000001E-4</v>
      </c>
      <c r="E133" s="200">
        <v>0</v>
      </c>
      <c r="F133" s="203">
        <f t="shared" si="38"/>
        <v>0</v>
      </c>
      <c r="G133" s="200">
        <v>0</v>
      </c>
      <c r="H133" s="200">
        <v>0</v>
      </c>
      <c r="I133" s="200">
        <v>0</v>
      </c>
      <c r="J133" s="200">
        <v>0</v>
      </c>
      <c r="K133" s="200">
        <v>0</v>
      </c>
      <c r="L133" s="200">
        <v>0</v>
      </c>
      <c r="M133" s="203">
        <f t="shared" si="21"/>
        <v>0</v>
      </c>
      <c r="N133" s="200">
        <v>0</v>
      </c>
      <c r="O133" s="200">
        <v>0</v>
      </c>
      <c r="P133" s="200">
        <v>0</v>
      </c>
      <c r="Q133" s="200">
        <v>0</v>
      </c>
      <c r="R133" s="200">
        <v>0</v>
      </c>
      <c r="S133" s="200">
        <v>0</v>
      </c>
      <c r="T133" s="200">
        <v>0</v>
      </c>
      <c r="U133" s="203">
        <f t="shared" si="22"/>
        <v>0</v>
      </c>
      <c r="V133" s="200">
        <v>0</v>
      </c>
      <c r="W133" s="200">
        <v>0</v>
      </c>
      <c r="X133" s="200">
        <v>0</v>
      </c>
      <c r="Y133" s="200">
        <v>0</v>
      </c>
      <c r="Z133" s="200">
        <v>0</v>
      </c>
      <c r="AA133" s="200">
        <v>0</v>
      </c>
      <c r="AB133" s="200">
        <v>0</v>
      </c>
      <c r="AC133" s="203">
        <f t="shared" si="23"/>
        <v>0</v>
      </c>
      <c r="AD133" s="200">
        <v>0</v>
      </c>
      <c r="AE133" s="200">
        <v>0</v>
      </c>
      <c r="AF133" s="200">
        <v>0</v>
      </c>
      <c r="AG133" s="200">
        <v>0</v>
      </c>
      <c r="AH133" s="203">
        <f t="shared" si="24"/>
        <v>0</v>
      </c>
      <c r="AI133" s="200">
        <v>0</v>
      </c>
      <c r="AJ133" s="200">
        <v>0</v>
      </c>
      <c r="AK133" s="200">
        <v>0</v>
      </c>
      <c r="AL133" s="200">
        <v>0</v>
      </c>
      <c r="AM133" s="200">
        <v>0</v>
      </c>
      <c r="AN133" s="200">
        <v>0</v>
      </c>
      <c r="AO133" s="200">
        <v>0</v>
      </c>
      <c r="AP133" s="200">
        <v>0</v>
      </c>
      <c r="AQ133" s="200">
        <v>0</v>
      </c>
      <c r="AR133" s="203">
        <f t="shared" si="25"/>
        <v>0</v>
      </c>
      <c r="AS133" s="203">
        <f t="shared" si="26"/>
        <v>0</v>
      </c>
      <c r="AT133" s="200">
        <v>0</v>
      </c>
      <c r="AU133" s="200">
        <v>0</v>
      </c>
      <c r="AV133" s="200">
        <v>0</v>
      </c>
      <c r="AW133" s="200">
        <v>0</v>
      </c>
      <c r="AX133" s="200">
        <v>0</v>
      </c>
      <c r="AY133" s="200">
        <v>0</v>
      </c>
      <c r="AZ133" s="203">
        <f t="shared" si="27"/>
        <v>0</v>
      </c>
      <c r="BA133" s="200">
        <v>0</v>
      </c>
      <c r="BB133" s="200">
        <v>0</v>
      </c>
      <c r="BC133" s="200">
        <v>0</v>
      </c>
      <c r="BD133" s="200">
        <v>0</v>
      </c>
      <c r="BE133" s="200">
        <v>0</v>
      </c>
      <c r="BF133" s="200">
        <v>0</v>
      </c>
      <c r="BG133" s="200">
        <v>0</v>
      </c>
      <c r="BH133" s="200">
        <v>0</v>
      </c>
      <c r="BI133" s="200">
        <v>0</v>
      </c>
      <c r="BJ133" s="203">
        <f t="shared" si="28"/>
        <v>0</v>
      </c>
      <c r="BK133" s="203">
        <f t="shared" si="29"/>
        <v>0</v>
      </c>
      <c r="BL133" s="203">
        <f>$BO$9+SUMPRODUCT($D$10:D133,$BK$10:BK133)</f>
        <v>8046522.2985823154</v>
      </c>
      <c r="BM133" s="202">
        <f t="shared" si="30"/>
        <v>5.85</v>
      </c>
      <c r="BN133" s="203">
        <f t="shared" si="33"/>
        <v>509217288.78977001</v>
      </c>
      <c r="BO133" s="204">
        <f t="shared" si="31"/>
        <v>9213786327.931179</v>
      </c>
      <c r="BP133" s="201">
        <f t="shared" si="34"/>
        <v>0</v>
      </c>
      <c r="BQ133" s="201">
        <f t="shared" si="35"/>
        <v>0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>
      <c r="A134" s="165">
        <f t="shared" si="40"/>
        <v>125</v>
      </c>
      <c r="B134" s="166">
        <f t="shared" si="40"/>
        <v>2144</v>
      </c>
      <c r="C134" s="29">
        <v>5.85</v>
      </c>
      <c r="D134" s="164">
        <f t="shared" si="36"/>
        <v>8.1999999999999998E-4</v>
      </c>
      <c r="E134" s="200">
        <v>0</v>
      </c>
      <c r="F134" s="203">
        <f t="shared" si="38"/>
        <v>0</v>
      </c>
      <c r="G134" s="200">
        <v>0</v>
      </c>
      <c r="H134" s="200">
        <v>0</v>
      </c>
      <c r="I134" s="200">
        <v>0</v>
      </c>
      <c r="J134" s="200">
        <v>0</v>
      </c>
      <c r="K134" s="200">
        <v>0</v>
      </c>
      <c r="L134" s="200">
        <v>0</v>
      </c>
      <c r="M134" s="203">
        <f t="shared" si="21"/>
        <v>0</v>
      </c>
      <c r="N134" s="200">
        <v>0</v>
      </c>
      <c r="O134" s="200">
        <v>0</v>
      </c>
      <c r="P134" s="200">
        <v>0</v>
      </c>
      <c r="Q134" s="200">
        <v>0</v>
      </c>
      <c r="R134" s="200">
        <v>0</v>
      </c>
      <c r="S134" s="200">
        <v>0</v>
      </c>
      <c r="T134" s="200">
        <v>0</v>
      </c>
      <c r="U134" s="203">
        <f t="shared" si="22"/>
        <v>0</v>
      </c>
      <c r="V134" s="200">
        <v>0</v>
      </c>
      <c r="W134" s="200">
        <v>0</v>
      </c>
      <c r="X134" s="200">
        <v>0</v>
      </c>
      <c r="Y134" s="200">
        <v>0</v>
      </c>
      <c r="Z134" s="200">
        <v>0</v>
      </c>
      <c r="AA134" s="200">
        <v>0</v>
      </c>
      <c r="AB134" s="200">
        <v>0</v>
      </c>
      <c r="AC134" s="203">
        <f t="shared" si="23"/>
        <v>0</v>
      </c>
      <c r="AD134" s="200">
        <v>0</v>
      </c>
      <c r="AE134" s="200">
        <v>0</v>
      </c>
      <c r="AF134" s="200">
        <v>0</v>
      </c>
      <c r="AG134" s="200">
        <v>0</v>
      </c>
      <c r="AH134" s="203">
        <f t="shared" si="24"/>
        <v>0</v>
      </c>
      <c r="AI134" s="200">
        <v>0</v>
      </c>
      <c r="AJ134" s="200">
        <v>0</v>
      </c>
      <c r="AK134" s="200">
        <v>0</v>
      </c>
      <c r="AL134" s="200">
        <v>0</v>
      </c>
      <c r="AM134" s="200">
        <v>0</v>
      </c>
      <c r="AN134" s="200">
        <v>0</v>
      </c>
      <c r="AO134" s="200">
        <v>0</v>
      </c>
      <c r="AP134" s="200">
        <v>0</v>
      </c>
      <c r="AQ134" s="200">
        <v>0</v>
      </c>
      <c r="AR134" s="203">
        <f t="shared" si="25"/>
        <v>0</v>
      </c>
      <c r="AS134" s="203">
        <f t="shared" si="26"/>
        <v>0</v>
      </c>
      <c r="AT134" s="200">
        <v>0</v>
      </c>
      <c r="AU134" s="200">
        <v>0</v>
      </c>
      <c r="AV134" s="200">
        <v>0</v>
      </c>
      <c r="AW134" s="200">
        <v>0</v>
      </c>
      <c r="AX134" s="200">
        <v>0</v>
      </c>
      <c r="AY134" s="200">
        <v>0</v>
      </c>
      <c r="AZ134" s="203">
        <f t="shared" si="27"/>
        <v>0</v>
      </c>
      <c r="BA134" s="200">
        <v>0</v>
      </c>
      <c r="BB134" s="200">
        <v>0</v>
      </c>
      <c r="BC134" s="200">
        <v>0</v>
      </c>
      <c r="BD134" s="200">
        <v>0</v>
      </c>
      <c r="BE134" s="200">
        <v>0</v>
      </c>
      <c r="BF134" s="200">
        <v>0</v>
      </c>
      <c r="BG134" s="200">
        <v>0</v>
      </c>
      <c r="BH134" s="200">
        <v>0</v>
      </c>
      <c r="BI134" s="200">
        <v>0</v>
      </c>
      <c r="BJ134" s="203">
        <f t="shared" si="28"/>
        <v>0</v>
      </c>
      <c r="BK134" s="203">
        <f t="shared" si="29"/>
        <v>0</v>
      </c>
      <c r="BL134" s="203">
        <f>$BO$9+SUMPRODUCT($D$10:D134,$BK$10:BK134)</f>
        <v>8046522.2985823154</v>
      </c>
      <c r="BM134" s="202">
        <f t="shared" si="30"/>
        <v>5.85</v>
      </c>
      <c r="BN134" s="203">
        <f t="shared" si="33"/>
        <v>539006500.18396997</v>
      </c>
      <c r="BO134" s="204">
        <f t="shared" si="31"/>
        <v>9752792828.1151505</v>
      </c>
      <c r="BP134" s="201">
        <f t="shared" si="34"/>
        <v>0</v>
      </c>
      <c r="BQ134" s="201">
        <f t="shared" si="35"/>
        <v>0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>
      <c r="A135" s="165">
        <f t="shared" si="40"/>
        <v>126</v>
      </c>
      <c r="B135" s="166">
        <f t="shared" si="40"/>
        <v>2145</v>
      </c>
      <c r="C135" s="29">
        <v>5.85</v>
      </c>
      <c r="D135" s="164">
        <f t="shared" si="36"/>
        <v>7.6999999999999996E-4</v>
      </c>
      <c r="E135" s="200">
        <v>0</v>
      </c>
      <c r="F135" s="203">
        <f t="shared" si="38"/>
        <v>0</v>
      </c>
      <c r="G135" s="200">
        <v>0</v>
      </c>
      <c r="H135" s="200">
        <v>0</v>
      </c>
      <c r="I135" s="200">
        <v>0</v>
      </c>
      <c r="J135" s="200">
        <v>0</v>
      </c>
      <c r="K135" s="200">
        <v>0</v>
      </c>
      <c r="L135" s="200">
        <v>0</v>
      </c>
      <c r="M135" s="203">
        <f t="shared" si="21"/>
        <v>0</v>
      </c>
      <c r="N135" s="200">
        <v>0</v>
      </c>
      <c r="O135" s="200">
        <v>0</v>
      </c>
      <c r="P135" s="200">
        <v>0</v>
      </c>
      <c r="Q135" s="200">
        <v>0</v>
      </c>
      <c r="R135" s="200">
        <v>0</v>
      </c>
      <c r="S135" s="200">
        <v>0</v>
      </c>
      <c r="T135" s="200">
        <v>0</v>
      </c>
      <c r="U135" s="203">
        <f t="shared" si="22"/>
        <v>0</v>
      </c>
      <c r="V135" s="200">
        <v>0</v>
      </c>
      <c r="W135" s="200">
        <v>0</v>
      </c>
      <c r="X135" s="200">
        <v>0</v>
      </c>
      <c r="Y135" s="200">
        <v>0</v>
      </c>
      <c r="Z135" s="200">
        <v>0</v>
      </c>
      <c r="AA135" s="200">
        <v>0</v>
      </c>
      <c r="AB135" s="200">
        <v>0</v>
      </c>
      <c r="AC135" s="203">
        <f t="shared" si="23"/>
        <v>0</v>
      </c>
      <c r="AD135" s="200">
        <v>0</v>
      </c>
      <c r="AE135" s="200">
        <v>0</v>
      </c>
      <c r="AF135" s="200">
        <v>0</v>
      </c>
      <c r="AG135" s="200">
        <v>0</v>
      </c>
      <c r="AH135" s="203">
        <f t="shared" si="24"/>
        <v>0</v>
      </c>
      <c r="AI135" s="200">
        <v>0</v>
      </c>
      <c r="AJ135" s="200">
        <v>0</v>
      </c>
      <c r="AK135" s="200">
        <v>0</v>
      </c>
      <c r="AL135" s="200">
        <v>0</v>
      </c>
      <c r="AM135" s="200">
        <v>0</v>
      </c>
      <c r="AN135" s="200">
        <v>0</v>
      </c>
      <c r="AO135" s="200">
        <v>0</v>
      </c>
      <c r="AP135" s="200">
        <v>0</v>
      </c>
      <c r="AQ135" s="200">
        <v>0</v>
      </c>
      <c r="AR135" s="203">
        <f t="shared" si="25"/>
        <v>0</v>
      </c>
      <c r="AS135" s="203">
        <f t="shared" si="26"/>
        <v>0</v>
      </c>
      <c r="AT135" s="200">
        <v>0</v>
      </c>
      <c r="AU135" s="200">
        <v>0</v>
      </c>
      <c r="AV135" s="200">
        <v>0</v>
      </c>
      <c r="AW135" s="200">
        <v>0</v>
      </c>
      <c r="AX135" s="200">
        <v>0</v>
      </c>
      <c r="AY135" s="200">
        <v>0</v>
      </c>
      <c r="AZ135" s="203">
        <f t="shared" si="27"/>
        <v>0</v>
      </c>
      <c r="BA135" s="200">
        <v>0</v>
      </c>
      <c r="BB135" s="200">
        <v>0</v>
      </c>
      <c r="BC135" s="200">
        <v>0</v>
      </c>
      <c r="BD135" s="200">
        <v>0</v>
      </c>
      <c r="BE135" s="200">
        <v>0</v>
      </c>
      <c r="BF135" s="200">
        <v>0</v>
      </c>
      <c r="BG135" s="200">
        <v>0</v>
      </c>
      <c r="BH135" s="200">
        <v>0</v>
      </c>
      <c r="BI135" s="200">
        <v>0</v>
      </c>
      <c r="BJ135" s="203">
        <f t="shared" si="28"/>
        <v>0</v>
      </c>
      <c r="BK135" s="203">
        <f t="shared" si="29"/>
        <v>0</v>
      </c>
      <c r="BL135" s="203">
        <f>$BO$9+SUMPRODUCT($D$10:D135,$BK$10:BK135)</f>
        <v>8046522.2985823154</v>
      </c>
      <c r="BM135" s="202">
        <f t="shared" si="30"/>
        <v>5.85</v>
      </c>
      <c r="BN135" s="203">
        <f t="shared" si="33"/>
        <v>570538380.44474006</v>
      </c>
      <c r="BO135" s="204">
        <f t="shared" si="31"/>
        <v>10323331208.5599</v>
      </c>
      <c r="BP135" s="201">
        <f t="shared" si="34"/>
        <v>0</v>
      </c>
      <c r="BQ135" s="201">
        <f t="shared" si="35"/>
        <v>0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>
      <c r="A136" s="165">
        <f t="shared" si="40"/>
        <v>127</v>
      </c>
      <c r="B136" s="166">
        <f t="shared" si="40"/>
        <v>2146</v>
      </c>
      <c r="C136" s="29">
        <v>5.85</v>
      </c>
      <c r="D136" s="164">
        <f t="shared" si="36"/>
        <v>7.2999999999999996E-4</v>
      </c>
      <c r="E136" s="200">
        <v>0</v>
      </c>
      <c r="F136" s="203">
        <f t="shared" si="38"/>
        <v>0</v>
      </c>
      <c r="G136" s="200">
        <v>0</v>
      </c>
      <c r="H136" s="200">
        <v>0</v>
      </c>
      <c r="I136" s="200">
        <v>0</v>
      </c>
      <c r="J136" s="200">
        <v>0</v>
      </c>
      <c r="K136" s="200">
        <v>0</v>
      </c>
      <c r="L136" s="200">
        <v>0</v>
      </c>
      <c r="M136" s="203">
        <f t="shared" si="21"/>
        <v>0</v>
      </c>
      <c r="N136" s="200">
        <v>0</v>
      </c>
      <c r="O136" s="200">
        <v>0</v>
      </c>
      <c r="P136" s="200">
        <v>0</v>
      </c>
      <c r="Q136" s="200">
        <v>0</v>
      </c>
      <c r="R136" s="200">
        <v>0</v>
      </c>
      <c r="S136" s="200">
        <v>0</v>
      </c>
      <c r="T136" s="200">
        <v>0</v>
      </c>
      <c r="U136" s="203">
        <f t="shared" si="22"/>
        <v>0</v>
      </c>
      <c r="V136" s="200">
        <v>0</v>
      </c>
      <c r="W136" s="200">
        <v>0</v>
      </c>
      <c r="X136" s="200">
        <v>0</v>
      </c>
      <c r="Y136" s="200">
        <v>0</v>
      </c>
      <c r="Z136" s="200">
        <v>0</v>
      </c>
      <c r="AA136" s="200">
        <v>0</v>
      </c>
      <c r="AB136" s="200">
        <v>0</v>
      </c>
      <c r="AC136" s="203">
        <f t="shared" si="23"/>
        <v>0</v>
      </c>
      <c r="AD136" s="200">
        <v>0</v>
      </c>
      <c r="AE136" s="200">
        <v>0</v>
      </c>
      <c r="AF136" s="200">
        <v>0</v>
      </c>
      <c r="AG136" s="200">
        <v>0</v>
      </c>
      <c r="AH136" s="203">
        <f t="shared" si="24"/>
        <v>0</v>
      </c>
      <c r="AI136" s="200">
        <v>0</v>
      </c>
      <c r="AJ136" s="200">
        <v>0</v>
      </c>
      <c r="AK136" s="200">
        <v>0</v>
      </c>
      <c r="AL136" s="200">
        <v>0</v>
      </c>
      <c r="AM136" s="200">
        <v>0</v>
      </c>
      <c r="AN136" s="200">
        <v>0</v>
      </c>
      <c r="AO136" s="200">
        <v>0</v>
      </c>
      <c r="AP136" s="200">
        <v>0</v>
      </c>
      <c r="AQ136" s="200">
        <v>0</v>
      </c>
      <c r="AR136" s="203">
        <f t="shared" si="25"/>
        <v>0</v>
      </c>
      <c r="AS136" s="203">
        <f t="shared" si="26"/>
        <v>0</v>
      </c>
      <c r="AT136" s="200">
        <v>0</v>
      </c>
      <c r="AU136" s="200">
        <v>0</v>
      </c>
      <c r="AV136" s="200">
        <v>0</v>
      </c>
      <c r="AW136" s="200">
        <v>0</v>
      </c>
      <c r="AX136" s="200">
        <v>0</v>
      </c>
      <c r="AY136" s="200">
        <v>0</v>
      </c>
      <c r="AZ136" s="203">
        <f t="shared" si="27"/>
        <v>0</v>
      </c>
      <c r="BA136" s="200">
        <v>0</v>
      </c>
      <c r="BB136" s="200">
        <v>0</v>
      </c>
      <c r="BC136" s="200">
        <v>0</v>
      </c>
      <c r="BD136" s="200">
        <v>0</v>
      </c>
      <c r="BE136" s="200">
        <v>0</v>
      </c>
      <c r="BF136" s="200">
        <v>0</v>
      </c>
      <c r="BG136" s="200">
        <v>0</v>
      </c>
      <c r="BH136" s="200">
        <v>0</v>
      </c>
      <c r="BI136" s="200">
        <v>0</v>
      </c>
      <c r="BJ136" s="203">
        <f t="shared" si="28"/>
        <v>0</v>
      </c>
      <c r="BK136" s="203">
        <f t="shared" si="29"/>
        <v>0</v>
      </c>
      <c r="BL136" s="203">
        <f>$BO$9+SUMPRODUCT($D$10:D136,$BK$10:BK136)</f>
        <v>8046522.2985823154</v>
      </c>
      <c r="BM136" s="202">
        <f t="shared" si="30"/>
        <v>5.85</v>
      </c>
      <c r="BN136" s="203">
        <f t="shared" si="33"/>
        <v>603914875.70074999</v>
      </c>
      <c r="BO136" s="204">
        <f t="shared" si="31"/>
        <v>10927246084.2607</v>
      </c>
      <c r="BP136" s="201">
        <f t="shared" si="34"/>
        <v>0</v>
      </c>
      <c r="BQ136" s="201">
        <f t="shared" si="35"/>
        <v>0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>
      <c r="A137" s="165">
        <f t="shared" si="40"/>
        <v>128</v>
      </c>
      <c r="B137" s="166">
        <f t="shared" si="40"/>
        <v>2147</v>
      </c>
      <c r="C137" s="29">
        <v>5.85</v>
      </c>
      <c r="D137" s="164">
        <f t="shared" si="36"/>
        <v>6.8999999999999997E-4</v>
      </c>
      <c r="E137" s="200">
        <v>0</v>
      </c>
      <c r="F137" s="203">
        <f t="shared" si="38"/>
        <v>0</v>
      </c>
      <c r="G137" s="200">
        <v>0</v>
      </c>
      <c r="H137" s="200">
        <v>0</v>
      </c>
      <c r="I137" s="200">
        <v>0</v>
      </c>
      <c r="J137" s="200">
        <v>0</v>
      </c>
      <c r="K137" s="200">
        <v>0</v>
      </c>
      <c r="L137" s="200">
        <v>0</v>
      </c>
      <c r="M137" s="203">
        <f t="shared" si="21"/>
        <v>0</v>
      </c>
      <c r="N137" s="200">
        <v>0</v>
      </c>
      <c r="O137" s="200">
        <v>0</v>
      </c>
      <c r="P137" s="200">
        <v>0</v>
      </c>
      <c r="Q137" s="200">
        <v>0</v>
      </c>
      <c r="R137" s="200">
        <v>0</v>
      </c>
      <c r="S137" s="200">
        <v>0</v>
      </c>
      <c r="T137" s="200">
        <v>0</v>
      </c>
      <c r="U137" s="203">
        <f t="shared" si="22"/>
        <v>0</v>
      </c>
      <c r="V137" s="200">
        <v>0</v>
      </c>
      <c r="W137" s="200">
        <v>0</v>
      </c>
      <c r="X137" s="200">
        <v>0</v>
      </c>
      <c r="Y137" s="200">
        <v>0</v>
      </c>
      <c r="Z137" s="200">
        <v>0</v>
      </c>
      <c r="AA137" s="200">
        <v>0</v>
      </c>
      <c r="AB137" s="200">
        <v>0</v>
      </c>
      <c r="AC137" s="203">
        <f t="shared" si="23"/>
        <v>0</v>
      </c>
      <c r="AD137" s="200">
        <v>0</v>
      </c>
      <c r="AE137" s="200">
        <v>0</v>
      </c>
      <c r="AF137" s="200">
        <v>0</v>
      </c>
      <c r="AG137" s="200">
        <v>0</v>
      </c>
      <c r="AH137" s="203">
        <f t="shared" si="24"/>
        <v>0</v>
      </c>
      <c r="AI137" s="200">
        <v>0</v>
      </c>
      <c r="AJ137" s="200">
        <v>0</v>
      </c>
      <c r="AK137" s="200">
        <v>0</v>
      </c>
      <c r="AL137" s="200">
        <v>0</v>
      </c>
      <c r="AM137" s="200">
        <v>0</v>
      </c>
      <c r="AN137" s="200">
        <v>0</v>
      </c>
      <c r="AO137" s="200">
        <v>0</v>
      </c>
      <c r="AP137" s="200">
        <v>0</v>
      </c>
      <c r="AQ137" s="200">
        <v>0</v>
      </c>
      <c r="AR137" s="203">
        <f t="shared" si="25"/>
        <v>0</v>
      </c>
      <c r="AS137" s="203">
        <f t="shared" si="26"/>
        <v>0</v>
      </c>
      <c r="AT137" s="200">
        <v>0</v>
      </c>
      <c r="AU137" s="200">
        <v>0</v>
      </c>
      <c r="AV137" s="200">
        <v>0</v>
      </c>
      <c r="AW137" s="200">
        <v>0</v>
      </c>
      <c r="AX137" s="200">
        <v>0</v>
      </c>
      <c r="AY137" s="200">
        <v>0</v>
      </c>
      <c r="AZ137" s="203">
        <f t="shared" si="27"/>
        <v>0</v>
      </c>
      <c r="BA137" s="200">
        <v>0</v>
      </c>
      <c r="BB137" s="200">
        <v>0</v>
      </c>
      <c r="BC137" s="200">
        <v>0</v>
      </c>
      <c r="BD137" s="200">
        <v>0</v>
      </c>
      <c r="BE137" s="200">
        <v>0</v>
      </c>
      <c r="BF137" s="200">
        <v>0</v>
      </c>
      <c r="BG137" s="200">
        <v>0</v>
      </c>
      <c r="BH137" s="200">
        <v>0</v>
      </c>
      <c r="BI137" s="200">
        <v>0</v>
      </c>
      <c r="BJ137" s="203">
        <f t="shared" si="28"/>
        <v>0</v>
      </c>
      <c r="BK137" s="203">
        <f t="shared" si="29"/>
        <v>0</v>
      </c>
      <c r="BL137" s="203">
        <f>$BO$9+SUMPRODUCT($D$10:D137,$BK$10:BK137)</f>
        <v>8046522.2985823154</v>
      </c>
      <c r="BM137" s="202">
        <f t="shared" si="30"/>
        <v>5.85</v>
      </c>
      <c r="BN137" s="203">
        <f t="shared" si="33"/>
        <v>639243895.92925</v>
      </c>
      <c r="BO137" s="204">
        <f t="shared" si="31"/>
        <v>11566489980.190001</v>
      </c>
      <c r="BP137" s="201">
        <f t="shared" si="34"/>
        <v>0</v>
      </c>
      <c r="BQ137" s="201">
        <f t="shared" si="35"/>
        <v>0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>
      <c r="A138" s="165">
        <f t="shared" si="40"/>
        <v>129</v>
      </c>
      <c r="B138" s="166">
        <f t="shared" si="40"/>
        <v>2148</v>
      </c>
      <c r="C138" s="29">
        <v>5.85</v>
      </c>
      <c r="D138" s="164">
        <f t="shared" si="36"/>
        <v>6.4999999999999997E-4</v>
      </c>
      <c r="E138" s="200">
        <v>0</v>
      </c>
      <c r="F138" s="203">
        <f t="shared" si="38"/>
        <v>0</v>
      </c>
      <c r="G138" s="200">
        <v>0</v>
      </c>
      <c r="H138" s="200">
        <v>0</v>
      </c>
      <c r="I138" s="200">
        <v>0</v>
      </c>
      <c r="J138" s="200">
        <v>0</v>
      </c>
      <c r="K138" s="200">
        <v>0</v>
      </c>
      <c r="L138" s="200">
        <v>0</v>
      </c>
      <c r="M138" s="203">
        <f t="shared" ref="M138:M159" si="41">ROUND(SUM(N138:T138),5)</f>
        <v>0</v>
      </c>
      <c r="N138" s="200">
        <v>0</v>
      </c>
      <c r="O138" s="200">
        <v>0</v>
      </c>
      <c r="P138" s="200">
        <v>0</v>
      </c>
      <c r="Q138" s="200">
        <v>0</v>
      </c>
      <c r="R138" s="200">
        <v>0</v>
      </c>
      <c r="S138" s="200">
        <v>0</v>
      </c>
      <c r="T138" s="200">
        <v>0</v>
      </c>
      <c r="U138" s="203">
        <f t="shared" ref="U138:U159" si="42">ROUND(SUM(V138:AB138),5)</f>
        <v>0</v>
      </c>
      <c r="V138" s="200">
        <v>0</v>
      </c>
      <c r="W138" s="200">
        <v>0</v>
      </c>
      <c r="X138" s="200">
        <v>0</v>
      </c>
      <c r="Y138" s="200">
        <v>0</v>
      </c>
      <c r="Z138" s="200">
        <v>0</v>
      </c>
      <c r="AA138" s="200">
        <v>0</v>
      </c>
      <c r="AB138" s="200">
        <v>0</v>
      </c>
      <c r="AC138" s="203">
        <f t="shared" ref="AC138:AC159" si="43">ROUND(SUM(AD138:AG138),5)</f>
        <v>0</v>
      </c>
      <c r="AD138" s="200">
        <v>0</v>
      </c>
      <c r="AE138" s="200">
        <v>0</v>
      </c>
      <c r="AF138" s="200">
        <v>0</v>
      </c>
      <c r="AG138" s="200">
        <v>0</v>
      </c>
      <c r="AH138" s="203">
        <f t="shared" ref="AH138:AH159" si="44">ROUND(SUM(AI138:AM138),5)</f>
        <v>0</v>
      </c>
      <c r="AI138" s="200">
        <v>0</v>
      </c>
      <c r="AJ138" s="200">
        <v>0</v>
      </c>
      <c r="AK138" s="200">
        <v>0</v>
      </c>
      <c r="AL138" s="200">
        <v>0</v>
      </c>
      <c r="AM138" s="200">
        <v>0</v>
      </c>
      <c r="AN138" s="200">
        <v>0</v>
      </c>
      <c r="AO138" s="200">
        <v>0</v>
      </c>
      <c r="AP138" s="200">
        <v>0</v>
      </c>
      <c r="AQ138" s="200">
        <v>0</v>
      </c>
      <c r="AR138" s="203">
        <f t="shared" ref="AR138:AR159" si="45">ROUND(F138+K138+L138+M138+U138+AC138+AH138+AN138+AO138+AP138+AQ138,5)</f>
        <v>0</v>
      </c>
      <c r="AS138" s="203">
        <f t="shared" ref="AS138:AS159" si="46">ROUND(SUM(AT138:AY138),5)</f>
        <v>0</v>
      </c>
      <c r="AT138" s="200">
        <v>0</v>
      </c>
      <c r="AU138" s="200">
        <v>0</v>
      </c>
      <c r="AV138" s="200">
        <v>0</v>
      </c>
      <c r="AW138" s="200">
        <v>0</v>
      </c>
      <c r="AX138" s="200">
        <v>0</v>
      </c>
      <c r="AY138" s="200">
        <v>0</v>
      </c>
      <c r="AZ138" s="203">
        <f t="shared" ref="AZ138:AZ159" si="47">ROUND(SUM(BA138:BI138),5)</f>
        <v>0</v>
      </c>
      <c r="BA138" s="200">
        <v>0</v>
      </c>
      <c r="BB138" s="200">
        <v>0</v>
      </c>
      <c r="BC138" s="200">
        <v>0</v>
      </c>
      <c r="BD138" s="200">
        <v>0</v>
      </c>
      <c r="BE138" s="200">
        <v>0</v>
      </c>
      <c r="BF138" s="200">
        <v>0</v>
      </c>
      <c r="BG138" s="200">
        <v>0</v>
      </c>
      <c r="BH138" s="200">
        <v>0</v>
      </c>
      <c r="BI138" s="200">
        <v>0</v>
      </c>
      <c r="BJ138" s="203">
        <f t="shared" ref="BJ138:BJ159" si="48">ROUND(AS138+AZ138,5)</f>
        <v>0</v>
      </c>
      <c r="BK138" s="203">
        <f t="shared" ref="BK138:BK159" si="49">ROUND(AR138-BJ138,5)</f>
        <v>0</v>
      </c>
      <c r="BL138" s="203">
        <f>$BO$9+SUMPRODUCT($D$10:D138,$BK$10:BK138)</f>
        <v>8046522.2985823154</v>
      </c>
      <c r="BM138" s="202">
        <f t="shared" ref="BM138:BM159" si="50">ROUND(C138,5)</f>
        <v>5.85</v>
      </c>
      <c r="BN138" s="203">
        <f t="shared" si="33"/>
        <v>676639663.84112</v>
      </c>
      <c r="BO138" s="204">
        <f t="shared" ref="BO138:BO159" si="51">IF(BO137+BK138+BN138&gt;0,ROUND(BO137+BK138+BN138,5),0)</f>
        <v>12243129644.031099</v>
      </c>
      <c r="BP138" s="201">
        <f t="shared" si="34"/>
        <v>0</v>
      </c>
      <c r="BQ138" s="201">
        <f t="shared" si="35"/>
        <v>0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>
      <c r="A139" s="165">
        <f t="shared" ref="A139:B154" si="52">A138+1</f>
        <v>130</v>
      </c>
      <c r="B139" s="166">
        <f t="shared" si="52"/>
        <v>2149</v>
      </c>
      <c r="C139" s="29">
        <v>5.85</v>
      </c>
      <c r="D139" s="164">
        <f t="shared" si="36"/>
        <v>6.0999999999999997E-4</v>
      </c>
      <c r="E139" s="200">
        <v>0</v>
      </c>
      <c r="F139" s="203">
        <f t="shared" si="38"/>
        <v>0</v>
      </c>
      <c r="G139" s="200">
        <v>0</v>
      </c>
      <c r="H139" s="200">
        <v>0</v>
      </c>
      <c r="I139" s="200">
        <v>0</v>
      </c>
      <c r="J139" s="200">
        <v>0</v>
      </c>
      <c r="K139" s="200">
        <v>0</v>
      </c>
      <c r="L139" s="200">
        <v>0</v>
      </c>
      <c r="M139" s="203">
        <f t="shared" si="41"/>
        <v>0</v>
      </c>
      <c r="N139" s="200">
        <v>0</v>
      </c>
      <c r="O139" s="200">
        <v>0</v>
      </c>
      <c r="P139" s="200">
        <v>0</v>
      </c>
      <c r="Q139" s="200">
        <v>0</v>
      </c>
      <c r="R139" s="200">
        <v>0</v>
      </c>
      <c r="S139" s="200">
        <v>0</v>
      </c>
      <c r="T139" s="200">
        <v>0</v>
      </c>
      <c r="U139" s="203">
        <f t="shared" si="42"/>
        <v>0</v>
      </c>
      <c r="V139" s="200">
        <v>0</v>
      </c>
      <c r="W139" s="200">
        <v>0</v>
      </c>
      <c r="X139" s="200">
        <v>0</v>
      </c>
      <c r="Y139" s="200">
        <v>0</v>
      </c>
      <c r="Z139" s="200">
        <v>0</v>
      </c>
      <c r="AA139" s="200">
        <v>0</v>
      </c>
      <c r="AB139" s="200">
        <v>0</v>
      </c>
      <c r="AC139" s="203">
        <f t="shared" si="43"/>
        <v>0</v>
      </c>
      <c r="AD139" s="200">
        <v>0</v>
      </c>
      <c r="AE139" s="200">
        <v>0</v>
      </c>
      <c r="AF139" s="200">
        <v>0</v>
      </c>
      <c r="AG139" s="200">
        <v>0</v>
      </c>
      <c r="AH139" s="203">
        <f t="shared" si="44"/>
        <v>0</v>
      </c>
      <c r="AI139" s="200">
        <v>0</v>
      </c>
      <c r="AJ139" s="200">
        <v>0</v>
      </c>
      <c r="AK139" s="200">
        <v>0</v>
      </c>
      <c r="AL139" s="200">
        <v>0</v>
      </c>
      <c r="AM139" s="200">
        <v>0</v>
      </c>
      <c r="AN139" s="200">
        <v>0</v>
      </c>
      <c r="AO139" s="200">
        <v>0</v>
      </c>
      <c r="AP139" s="200">
        <v>0</v>
      </c>
      <c r="AQ139" s="200">
        <v>0</v>
      </c>
      <c r="AR139" s="203">
        <f t="shared" si="45"/>
        <v>0</v>
      </c>
      <c r="AS139" s="203">
        <f t="shared" si="46"/>
        <v>0</v>
      </c>
      <c r="AT139" s="200">
        <v>0</v>
      </c>
      <c r="AU139" s="200">
        <v>0</v>
      </c>
      <c r="AV139" s="200">
        <v>0</v>
      </c>
      <c r="AW139" s="200">
        <v>0</v>
      </c>
      <c r="AX139" s="200">
        <v>0</v>
      </c>
      <c r="AY139" s="200">
        <v>0</v>
      </c>
      <c r="AZ139" s="203">
        <f t="shared" si="47"/>
        <v>0</v>
      </c>
      <c r="BA139" s="200">
        <v>0</v>
      </c>
      <c r="BB139" s="200">
        <v>0</v>
      </c>
      <c r="BC139" s="200">
        <v>0</v>
      </c>
      <c r="BD139" s="200">
        <v>0</v>
      </c>
      <c r="BE139" s="200">
        <v>0</v>
      </c>
      <c r="BF139" s="200">
        <v>0</v>
      </c>
      <c r="BG139" s="200">
        <v>0</v>
      </c>
      <c r="BH139" s="200">
        <v>0</v>
      </c>
      <c r="BI139" s="200">
        <v>0</v>
      </c>
      <c r="BJ139" s="203">
        <f t="shared" si="48"/>
        <v>0</v>
      </c>
      <c r="BK139" s="203">
        <f t="shared" si="49"/>
        <v>0</v>
      </c>
      <c r="BL139" s="203">
        <f>$BO$9+SUMPRODUCT($D$10:D139,$BK$10:BK139)</f>
        <v>8046522.2985823154</v>
      </c>
      <c r="BM139" s="202">
        <f t="shared" si="50"/>
        <v>5.85</v>
      </c>
      <c r="BN139" s="203">
        <f t="shared" ref="BN139:BN159" si="53">IF($A$10=0,IF(BO138+BK139&lt;0,0,ROUND(BM139/100*(BO138+BK139),5)),ROUND(BM139/100*BO138,5))</f>
        <v>716223084.17581999</v>
      </c>
      <c r="BO139" s="204">
        <f t="shared" si="51"/>
        <v>12959352728.2069</v>
      </c>
      <c r="BP139" s="201">
        <f t="shared" ref="BP139:BP159" si="54">(1/((1+$C139/100)^($A139-0.5)))*(AS139+AZ139-AY139-BH139-F139-AC139-AH139)</f>
        <v>0</v>
      </c>
      <c r="BQ139" s="201">
        <f t="shared" ref="BQ139:BQ159" si="55">$BP139*($A139-0.5)</f>
        <v>0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>
      <c r="A140" s="165">
        <f t="shared" si="52"/>
        <v>131</v>
      </c>
      <c r="B140" s="166">
        <f t="shared" si="52"/>
        <v>2150</v>
      </c>
      <c r="C140" s="29">
        <v>5.85</v>
      </c>
      <c r="D140" s="164">
        <f t="shared" ref="D140:D158" si="56">ROUND((1+C140/100)^-1*D139,5)</f>
        <v>5.8E-4</v>
      </c>
      <c r="E140" s="200">
        <v>0</v>
      </c>
      <c r="F140" s="203">
        <f t="shared" si="38"/>
        <v>0</v>
      </c>
      <c r="G140" s="200">
        <v>0</v>
      </c>
      <c r="H140" s="200">
        <v>0</v>
      </c>
      <c r="I140" s="200">
        <v>0</v>
      </c>
      <c r="J140" s="200">
        <v>0</v>
      </c>
      <c r="K140" s="200">
        <v>0</v>
      </c>
      <c r="L140" s="200">
        <v>0</v>
      </c>
      <c r="M140" s="203">
        <f t="shared" si="41"/>
        <v>0</v>
      </c>
      <c r="N140" s="200">
        <v>0</v>
      </c>
      <c r="O140" s="200">
        <v>0</v>
      </c>
      <c r="P140" s="200">
        <v>0</v>
      </c>
      <c r="Q140" s="200">
        <v>0</v>
      </c>
      <c r="R140" s="200">
        <v>0</v>
      </c>
      <c r="S140" s="200">
        <v>0</v>
      </c>
      <c r="T140" s="200">
        <v>0</v>
      </c>
      <c r="U140" s="203">
        <f t="shared" si="42"/>
        <v>0</v>
      </c>
      <c r="V140" s="200">
        <v>0</v>
      </c>
      <c r="W140" s="200">
        <v>0</v>
      </c>
      <c r="X140" s="200">
        <v>0</v>
      </c>
      <c r="Y140" s="200">
        <v>0</v>
      </c>
      <c r="Z140" s="200">
        <v>0</v>
      </c>
      <c r="AA140" s="200">
        <v>0</v>
      </c>
      <c r="AB140" s="200">
        <v>0</v>
      </c>
      <c r="AC140" s="203">
        <f t="shared" si="43"/>
        <v>0</v>
      </c>
      <c r="AD140" s="200">
        <v>0</v>
      </c>
      <c r="AE140" s="200">
        <v>0</v>
      </c>
      <c r="AF140" s="200">
        <v>0</v>
      </c>
      <c r="AG140" s="200">
        <v>0</v>
      </c>
      <c r="AH140" s="203">
        <f t="shared" si="44"/>
        <v>0</v>
      </c>
      <c r="AI140" s="200">
        <v>0</v>
      </c>
      <c r="AJ140" s="200">
        <v>0</v>
      </c>
      <c r="AK140" s="200">
        <v>0</v>
      </c>
      <c r="AL140" s="200">
        <v>0</v>
      </c>
      <c r="AM140" s="200">
        <v>0</v>
      </c>
      <c r="AN140" s="200">
        <v>0</v>
      </c>
      <c r="AO140" s="200">
        <v>0</v>
      </c>
      <c r="AP140" s="200">
        <v>0</v>
      </c>
      <c r="AQ140" s="200">
        <v>0</v>
      </c>
      <c r="AR140" s="203">
        <f t="shared" si="45"/>
        <v>0</v>
      </c>
      <c r="AS140" s="203">
        <f t="shared" si="46"/>
        <v>0</v>
      </c>
      <c r="AT140" s="200">
        <v>0</v>
      </c>
      <c r="AU140" s="200">
        <v>0</v>
      </c>
      <c r="AV140" s="200">
        <v>0</v>
      </c>
      <c r="AW140" s="200">
        <v>0</v>
      </c>
      <c r="AX140" s="200">
        <v>0</v>
      </c>
      <c r="AY140" s="200">
        <v>0</v>
      </c>
      <c r="AZ140" s="203">
        <f t="shared" si="47"/>
        <v>0</v>
      </c>
      <c r="BA140" s="200">
        <v>0</v>
      </c>
      <c r="BB140" s="200">
        <v>0</v>
      </c>
      <c r="BC140" s="200">
        <v>0</v>
      </c>
      <c r="BD140" s="200">
        <v>0</v>
      </c>
      <c r="BE140" s="200">
        <v>0</v>
      </c>
      <c r="BF140" s="200">
        <v>0</v>
      </c>
      <c r="BG140" s="200">
        <v>0</v>
      </c>
      <c r="BH140" s="200">
        <v>0</v>
      </c>
      <c r="BI140" s="200">
        <v>0</v>
      </c>
      <c r="BJ140" s="203">
        <f t="shared" si="48"/>
        <v>0</v>
      </c>
      <c r="BK140" s="203">
        <f t="shared" si="49"/>
        <v>0</v>
      </c>
      <c r="BL140" s="203">
        <f>$BO$9+SUMPRODUCT($D$10:D140,$BK$10:BK140)</f>
        <v>8046522.2985823154</v>
      </c>
      <c r="BM140" s="202">
        <f t="shared" si="50"/>
        <v>5.85</v>
      </c>
      <c r="BN140" s="203">
        <f t="shared" si="53"/>
        <v>758122134.60010004</v>
      </c>
      <c r="BO140" s="204">
        <f t="shared" si="51"/>
        <v>13717474862.806999</v>
      </c>
      <c r="BP140" s="201">
        <f t="shared" si="54"/>
        <v>0</v>
      </c>
      <c r="BQ140" s="201">
        <f t="shared" si="55"/>
        <v>0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>
      <c r="A141" s="165">
        <f t="shared" si="52"/>
        <v>132</v>
      </c>
      <c r="B141" s="166">
        <f t="shared" si="52"/>
        <v>2151</v>
      </c>
      <c r="C141" s="29">
        <v>5.85</v>
      </c>
      <c r="D141" s="164">
        <f t="shared" si="56"/>
        <v>5.5000000000000003E-4</v>
      </c>
      <c r="E141" s="200">
        <v>0</v>
      </c>
      <c r="F141" s="203">
        <f t="shared" si="38"/>
        <v>0</v>
      </c>
      <c r="G141" s="200">
        <v>0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3">
        <f t="shared" si="41"/>
        <v>0</v>
      </c>
      <c r="N141" s="200">
        <v>0</v>
      </c>
      <c r="O141" s="200">
        <v>0</v>
      </c>
      <c r="P141" s="200">
        <v>0</v>
      </c>
      <c r="Q141" s="200">
        <v>0</v>
      </c>
      <c r="R141" s="200">
        <v>0</v>
      </c>
      <c r="S141" s="200">
        <v>0</v>
      </c>
      <c r="T141" s="200">
        <v>0</v>
      </c>
      <c r="U141" s="203">
        <f t="shared" si="42"/>
        <v>0</v>
      </c>
      <c r="V141" s="200">
        <v>0</v>
      </c>
      <c r="W141" s="200">
        <v>0</v>
      </c>
      <c r="X141" s="200">
        <v>0</v>
      </c>
      <c r="Y141" s="200">
        <v>0</v>
      </c>
      <c r="Z141" s="200">
        <v>0</v>
      </c>
      <c r="AA141" s="200">
        <v>0</v>
      </c>
      <c r="AB141" s="200">
        <v>0</v>
      </c>
      <c r="AC141" s="203">
        <f t="shared" si="43"/>
        <v>0</v>
      </c>
      <c r="AD141" s="200">
        <v>0</v>
      </c>
      <c r="AE141" s="200">
        <v>0</v>
      </c>
      <c r="AF141" s="200">
        <v>0</v>
      </c>
      <c r="AG141" s="200">
        <v>0</v>
      </c>
      <c r="AH141" s="203">
        <f t="shared" si="44"/>
        <v>0</v>
      </c>
      <c r="AI141" s="200">
        <v>0</v>
      </c>
      <c r="AJ141" s="200">
        <v>0</v>
      </c>
      <c r="AK141" s="200">
        <v>0</v>
      </c>
      <c r="AL141" s="200">
        <v>0</v>
      </c>
      <c r="AM141" s="200">
        <v>0</v>
      </c>
      <c r="AN141" s="200">
        <v>0</v>
      </c>
      <c r="AO141" s="200">
        <v>0</v>
      </c>
      <c r="AP141" s="200">
        <v>0</v>
      </c>
      <c r="AQ141" s="200">
        <v>0</v>
      </c>
      <c r="AR141" s="203">
        <f t="shared" si="45"/>
        <v>0</v>
      </c>
      <c r="AS141" s="203">
        <f t="shared" si="46"/>
        <v>0</v>
      </c>
      <c r="AT141" s="200">
        <v>0</v>
      </c>
      <c r="AU141" s="200">
        <v>0</v>
      </c>
      <c r="AV141" s="200">
        <v>0</v>
      </c>
      <c r="AW141" s="200">
        <v>0</v>
      </c>
      <c r="AX141" s="200">
        <v>0</v>
      </c>
      <c r="AY141" s="200">
        <v>0</v>
      </c>
      <c r="AZ141" s="203">
        <f t="shared" si="47"/>
        <v>0</v>
      </c>
      <c r="BA141" s="200">
        <v>0</v>
      </c>
      <c r="BB141" s="200">
        <v>0</v>
      </c>
      <c r="BC141" s="200">
        <v>0</v>
      </c>
      <c r="BD141" s="200">
        <v>0</v>
      </c>
      <c r="BE141" s="200">
        <v>0</v>
      </c>
      <c r="BF141" s="200">
        <v>0</v>
      </c>
      <c r="BG141" s="200">
        <v>0</v>
      </c>
      <c r="BH141" s="200">
        <v>0</v>
      </c>
      <c r="BI141" s="200">
        <v>0</v>
      </c>
      <c r="BJ141" s="203">
        <f t="shared" si="48"/>
        <v>0</v>
      </c>
      <c r="BK141" s="203">
        <f t="shared" si="49"/>
        <v>0</v>
      </c>
      <c r="BL141" s="203">
        <f>$BO$9+SUMPRODUCT($D$10:D141,$BK$10:BK141)</f>
        <v>8046522.2985823154</v>
      </c>
      <c r="BM141" s="202">
        <f t="shared" si="50"/>
        <v>5.85</v>
      </c>
      <c r="BN141" s="203">
        <f t="shared" si="53"/>
        <v>802472279.47421002</v>
      </c>
      <c r="BO141" s="204">
        <f t="shared" si="51"/>
        <v>14519947142.2812</v>
      </c>
      <c r="BP141" s="201">
        <f t="shared" si="54"/>
        <v>0</v>
      </c>
      <c r="BQ141" s="201">
        <f t="shared" si="55"/>
        <v>0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>
      <c r="A142" s="165">
        <f t="shared" si="52"/>
        <v>133</v>
      </c>
      <c r="B142" s="166">
        <f t="shared" si="52"/>
        <v>2152</v>
      </c>
      <c r="C142" s="29">
        <v>5.85</v>
      </c>
      <c r="D142" s="164">
        <f t="shared" si="56"/>
        <v>5.1999999999999995E-4</v>
      </c>
      <c r="E142" s="200">
        <v>0</v>
      </c>
      <c r="F142" s="203">
        <f t="shared" si="38"/>
        <v>0</v>
      </c>
      <c r="G142" s="200">
        <v>0</v>
      </c>
      <c r="H142" s="200">
        <v>0</v>
      </c>
      <c r="I142" s="200">
        <v>0</v>
      </c>
      <c r="J142" s="200">
        <v>0</v>
      </c>
      <c r="K142" s="200">
        <v>0</v>
      </c>
      <c r="L142" s="200">
        <v>0</v>
      </c>
      <c r="M142" s="203">
        <f t="shared" si="41"/>
        <v>0</v>
      </c>
      <c r="N142" s="200">
        <v>0</v>
      </c>
      <c r="O142" s="200">
        <v>0</v>
      </c>
      <c r="P142" s="200">
        <v>0</v>
      </c>
      <c r="Q142" s="200">
        <v>0</v>
      </c>
      <c r="R142" s="200">
        <v>0</v>
      </c>
      <c r="S142" s="200">
        <v>0</v>
      </c>
      <c r="T142" s="200">
        <v>0</v>
      </c>
      <c r="U142" s="203">
        <f t="shared" si="42"/>
        <v>0</v>
      </c>
      <c r="V142" s="200">
        <v>0</v>
      </c>
      <c r="W142" s="200">
        <v>0</v>
      </c>
      <c r="X142" s="200">
        <v>0</v>
      </c>
      <c r="Y142" s="200">
        <v>0</v>
      </c>
      <c r="Z142" s="200">
        <v>0</v>
      </c>
      <c r="AA142" s="200">
        <v>0</v>
      </c>
      <c r="AB142" s="200">
        <v>0</v>
      </c>
      <c r="AC142" s="203">
        <f t="shared" si="43"/>
        <v>0</v>
      </c>
      <c r="AD142" s="200">
        <v>0</v>
      </c>
      <c r="AE142" s="200">
        <v>0</v>
      </c>
      <c r="AF142" s="200">
        <v>0</v>
      </c>
      <c r="AG142" s="200">
        <v>0</v>
      </c>
      <c r="AH142" s="203">
        <f t="shared" si="44"/>
        <v>0</v>
      </c>
      <c r="AI142" s="200">
        <v>0</v>
      </c>
      <c r="AJ142" s="200">
        <v>0</v>
      </c>
      <c r="AK142" s="200">
        <v>0</v>
      </c>
      <c r="AL142" s="200">
        <v>0</v>
      </c>
      <c r="AM142" s="200">
        <v>0</v>
      </c>
      <c r="AN142" s="200">
        <v>0</v>
      </c>
      <c r="AO142" s="200">
        <v>0</v>
      </c>
      <c r="AP142" s="200">
        <v>0</v>
      </c>
      <c r="AQ142" s="200">
        <v>0</v>
      </c>
      <c r="AR142" s="203">
        <f t="shared" si="45"/>
        <v>0</v>
      </c>
      <c r="AS142" s="203">
        <f t="shared" si="46"/>
        <v>0</v>
      </c>
      <c r="AT142" s="200">
        <v>0</v>
      </c>
      <c r="AU142" s="200">
        <v>0</v>
      </c>
      <c r="AV142" s="200">
        <v>0</v>
      </c>
      <c r="AW142" s="200">
        <v>0</v>
      </c>
      <c r="AX142" s="200">
        <v>0</v>
      </c>
      <c r="AY142" s="200">
        <v>0</v>
      </c>
      <c r="AZ142" s="203">
        <f t="shared" si="47"/>
        <v>0</v>
      </c>
      <c r="BA142" s="200">
        <v>0</v>
      </c>
      <c r="BB142" s="200">
        <v>0</v>
      </c>
      <c r="BC142" s="200">
        <v>0</v>
      </c>
      <c r="BD142" s="200">
        <v>0</v>
      </c>
      <c r="BE142" s="200">
        <v>0</v>
      </c>
      <c r="BF142" s="200">
        <v>0</v>
      </c>
      <c r="BG142" s="200">
        <v>0</v>
      </c>
      <c r="BH142" s="200">
        <v>0</v>
      </c>
      <c r="BI142" s="200">
        <v>0</v>
      </c>
      <c r="BJ142" s="203">
        <f t="shared" si="48"/>
        <v>0</v>
      </c>
      <c r="BK142" s="203">
        <f t="shared" si="49"/>
        <v>0</v>
      </c>
      <c r="BL142" s="203">
        <f>$BO$9+SUMPRODUCT($D$10:D142,$BK$10:BK142)</f>
        <v>8046522.2985823154</v>
      </c>
      <c r="BM142" s="202">
        <f t="shared" si="50"/>
        <v>5.85</v>
      </c>
      <c r="BN142" s="203">
        <f t="shared" si="53"/>
        <v>849416907.82344997</v>
      </c>
      <c r="BO142" s="204">
        <f t="shared" si="51"/>
        <v>15369364050.1047</v>
      </c>
      <c r="BP142" s="201">
        <f t="shared" si="54"/>
        <v>0</v>
      </c>
      <c r="BQ142" s="201">
        <f t="shared" si="55"/>
        <v>0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>
      <c r="A143" s="165">
        <f t="shared" si="52"/>
        <v>134</v>
      </c>
      <c r="B143" s="166">
        <f t="shared" si="52"/>
        <v>2153</v>
      </c>
      <c r="C143" s="29">
        <v>5.85</v>
      </c>
      <c r="D143" s="164">
        <f t="shared" si="56"/>
        <v>4.8999999999999998E-4</v>
      </c>
      <c r="E143" s="200">
        <v>0</v>
      </c>
      <c r="F143" s="203">
        <f t="shared" si="38"/>
        <v>0</v>
      </c>
      <c r="G143" s="200">
        <v>0</v>
      </c>
      <c r="H143" s="200">
        <v>0</v>
      </c>
      <c r="I143" s="200">
        <v>0</v>
      </c>
      <c r="J143" s="200">
        <v>0</v>
      </c>
      <c r="K143" s="200">
        <v>0</v>
      </c>
      <c r="L143" s="200">
        <v>0</v>
      </c>
      <c r="M143" s="203">
        <f t="shared" si="41"/>
        <v>0</v>
      </c>
      <c r="N143" s="200">
        <v>0</v>
      </c>
      <c r="O143" s="200">
        <v>0</v>
      </c>
      <c r="P143" s="200">
        <v>0</v>
      </c>
      <c r="Q143" s="200">
        <v>0</v>
      </c>
      <c r="R143" s="200">
        <v>0</v>
      </c>
      <c r="S143" s="200">
        <v>0</v>
      </c>
      <c r="T143" s="200">
        <v>0</v>
      </c>
      <c r="U143" s="203">
        <f t="shared" si="42"/>
        <v>0</v>
      </c>
      <c r="V143" s="200">
        <v>0</v>
      </c>
      <c r="W143" s="200">
        <v>0</v>
      </c>
      <c r="X143" s="200">
        <v>0</v>
      </c>
      <c r="Y143" s="200">
        <v>0</v>
      </c>
      <c r="Z143" s="200">
        <v>0</v>
      </c>
      <c r="AA143" s="200">
        <v>0</v>
      </c>
      <c r="AB143" s="200">
        <v>0</v>
      </c>
      <c r="AC143" s="203">
        <f t="shared" si="43"/>
        <v>0</v>
      </c>
      <c r="AD143" s="200">
        <v>0</v>
      </c>
      <c r="AE143" s="200">
        <v>0</v>
      </c>
      <c r="AF143" s="200">
        <v>0</v>
      </c>
      <c r="AG143" s="200">
        <v>0</v>
      </c>
      <c r="AH143" s="203">
        <f t="shared" si="44"/>
        <v>0</v>
      </c>
      <c r="AI143" s="200">
        <v>0</v>
      </c>
      <c r="AJ143" s="200">
        <v>0</v>
      </c>
      <c r="AK143" s="200">
        <v>0</v>
      </c>
      <c r="AL143" s="200">
        <v>0</v>
      </c>
      <c r="AM143" s="200">
        <v>0</v>
      </c>
      <c r="AN143" s="200">
        <v>0</v>
      </c>
      <c r="AO143" s="200">
        <v>0</v>
      </c>
      <c r="AP143" s="200">
        <v>0</v>
      </c>
      <c r="AQ143" s="200">
        <v>0</v>
      </c>
      <c r="AR143" s="203">
        <f t="shared" si="45"/>
        <v>0</v>
      </c>
      <c r="AS143" s="203">
        <f t="shared" si="46"/>
        <v>0</v>
      </c>
      <c r="AT143" s="200">
        <v>0</v>
      </c>
      <c r="AU143" s="200">
        <v>0</v>
      </c>
      <c r="AV143" s="200">
        <v>0</v>
      </c>
      <c r="AW143" s="200">
        <v>0</v>
      </c>
      <c r="AX143" s="200">
        <v>0</v>
      </c>
      <c r="AY143" s="200">
        <v>0</v>
      </c>
      <c r="AZ143" s="203">
        <f t="shared" si="47"/>
        <v>0</v>
      </c>
      <c r="BA143" s="200">
        <v>0</v>
      </c>
      <c r="BB143" s="200">
        <v>0</v>
      </c>
      <c r="BC143" s="200">
        <v>0</v>
      </c>
      <c r="BD143" s="200">
        <v>0</v>
      </c>
      <c r="BE143" s="200">
        <v>0</v>
      </c>
      <c r="BF143" s="200">
        <v>0</v>
      </c>
      <c r="BG143" s="200">
        <v>0</v>
      </c>
      <c r="BH143" s="200">
        <v>0</v>
      </c>
      <c r="BI143" s="200">
        <v>0</v>
      </c>
      <c r="BJ143" s="203">
        <f t="shared" si="48"/>
        <v>0</v>
      </c>
      <c r="BK143" s="203">
        <f t="shared" si="49"/>
        <v>0</v>
      </c>
      <c r="BL143" s="203">
        <f>$BO$9+SUMPRODUCT($D$10:D143,$BK$10:BK143)</f>
        <v>8046522.2985823154</v>
      </c>
      <c r="BM143" s="202">
        <f t="shared" si="50"/>
        <v>5.85</v>
      </c>
      <c r="BN143" s="203">
        <f t="shared" si="53"/>
        <v>899107796.93113005</v>
      </c>
      <c r="BO143" s="204">
        <f t="shared" si="51"/>
        <v>16268471847.035801</v>
      </c>
      <c r="BP143" s="201">
        <f t="shared" si="54"/>
        <v>0</v>
      </c>
      <c r="BQ143" s="201">
        <f t="shared" si="55"/>
        <v>0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>
      <c r="A144" s="165">
        <f t="shared" si="52"/>
        <v>135</v>
      </c>
      <c r="B144" s="166">
        <f t="shared" si="52"/>
        <v>2154</v>
      </c>
      <c r="C144" s="29">
        <v>5.85</v>
      </c>
      <c r="D144" s="164">
        <f t="shared" si="56"/>
        <v>4.6000000000000001E-4</v>
      </c>
      <c r="E144" s="200">
        <v>0</v>
      </c>
      <c r="F144" s="203">
        <f t="shared" si="38"/>
        <v>0</v>
      </c>
      <c r="G144" s="200">
        <v>0</v>
      </c>
      <c r="H144" s="200">
        <v>0</v>
      </c>
      <c r="I144" s="200">
        <v>0</v>
      </c>
      <c r="J144" s="200">
        <v>0</v>
      </c>
      <c r="K144" s="200">
        <v>0</v>
      </c>
      <c r="L144" s="200">
        <v>0</v>
      </c>
      <c r="M144" s="203">
        <f t="shared" si="41"/>
        <v>0</v>
      </c>
      <c r="N144" s="200">
        <v>0</v>
      </c>
      <c r="O144" s="200">
        <v>0</v>
      </c>
      <c r="P144" s="200">
        <v>0</v>
      </c>
      <c r="Q144" s="200">
        <v>0</v>
      </c>
      <c r="R144" s="200">
        <v>0</v>
      </c>
      <c r="S144" s="200">
        <v>0</v>
      </c>
      <c r="T144" s="200">
        <v>0</v>
      </c>
      <c r="U144" s="203">
        <f t="shared" si="42"/>
        <v>0</v>
      </c>
      <c r="V144" s="200">
        <v>0</v>
      </c>
      <c r="W144" s="200">
        <v>0</v>
      </c>
      <c r="X144" s="200">
        <v>0</v>
      </c>
      <c r="Y144" s="200">
        <v>0</v>
      </c>
      <c r="Z144" s="200">
        <v>0</v>
      </c>
      <c r="AA144" s="200">
        <v>0</v>
      </c>
      <c r="AB144" s="200">
        <v>0</v>
      </c>
      <c r="AC144" s="203">
        <f t="shared" si="43"/>
        <v>0</v>
      </c>
      <c r="AD144" s="200">
        <v>0</v>
      </c>
      <c r="AE144" s="200">
        <v>0</v>
      </c>
      <c r="AF144" s="200">
        <v>0</v>
      </c>
      <c r="AG144" s="200">
        <v>0</v>
      </c>
      <c r="AH144" s="203">
        <f t="shared" si="44"/>
        <v>0</v>
      </c>
      <c r="AI144" s="200">
        <v>0</v>
      </c>
      <c r="AJ144" s="200">
        <v>0</v>
      </c>
      <c r="AK144" s="200">
        <v>0</v>
      </c>
      <c r="AL144" s="200">
        <v>0</v>
      </c>
      <c r="AM144" s="200">
        <v>0</v>
      </c>
      <c r="AN144" s="200">
        <v>0</v>
      </c>
      <c r="AO144" s="200">
        <v>0</v>
      </c>
      <c r="AP144" s="200">
        <v>0</v>
      </c>
      <c r="AQ144" s="200">
        <v>0</v>
      </c>
      <c r="AR144" s="203">
        <f t="shared" si="45"/>
        <v>0</v>
      </c>
      <c r="AS144" s="203">
        <f t="shared" si="46"/>
        <v>0</v>
      </c>
      <c r="AT144" s="200">
        <v>0</v>
      </c>
      <c r="AU144" s="200">
        <v>0</v>
      </c>
      <c r="AV144" s="200">
        <v>0</v>
      </c>
      <c r="AW144" s="200">
        <v>0</v>
      </c>
      <c r="AX144" s="200">
        <v>0</v>
      </c>
      <c r="AY144" s="200">
        <v>0</v>
      </c>
      <c r="AZ144" s="203">
        <f t="shared" si="47"/>
        <v>0</v>
      </c>
      <c r="BA144" s="200">
        <v>0</v>
      </c>
      <c r="BB144" s="200">
        <v>0</v>
      </c>
      <c r="BC144" s="200">
        <v>0</v>
      </c>
      <c r="BD144" s="200">
        <v>0</v>
      </c>
      <c r="BE144" s="200">
        <v>0</v>
      </c>
      <c r="BF144" s="200">
        <v>0</v>
      </c>
      <c r="BG144" s="200">
        <v>0</v>
      </c>
      <c r="BH144" s="200">
        <v>0</v>
      </c>
      <c r="BI144" s="200">
        <v>0</v>
      </c>
      <c r="BJ144" s="203">
        <f t="shared" si="48"/>
        <v>0</v>
      </c>
      <c r="BK144" s="203">
        <f t="shared" si="49"/>
        <v>0</v>
      </c>
      <c r="BL144" s="203">
        <f>$BO$9+SUMPRODUCT($D$10:D144,$BK$10:BK144)</f>
        <v>8046522.2985823154</v>
      </c>
      <c r="BM144" s="202">
        <f t="shared" si="50"/>
        <v>5.85</v>
      </c>
      <c r="BN144" s="203">
        <f t="shared" si="53"/>
        <v>951705603.05158997</v>
      </c>
      <c r="BO144" s="204">
        <f t="shared" si="51"/>
        <v>17220177450.087399</v>
      </c>
      <c r="BP144" s="201">
        <f t="shared" si="54"/>
        <v>0</v>
      </c>
      <c r="BQ144" s="201">
        <f t="shared" si="55"/>
        <v>0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>
      <c r="A145" s="165">
        <f t="shared" si="52"/>
        <v>136</v>
      </c>
      <c r="B145" s="166">
        <f t="shared" si="52"/>
        <v>2155</v>
      </c>
      <c r="C145" s="29">
        <v>5.85</v>
      </c>
      <c r="D145" s="164">
        <f t="shared" si="56"/>
        <v>4.2999999999999999E-4</v>
      </c>
      <c r="E145" s="200">
        <v>0</v>
      </c>
      <c r="F145" s="203">
        <f t="shared" si="38"/>
        <v>0</v>
      </c>
      <c r="G145" s="200">
        <v>0</v>
      </c>
      <c r="H145" s="200">
        <v>0</v>
      </c>
      <c r="I145" s="200">
        <v>0</v>
      </c>
      <c r="J145" s="200">
        <v>0</v>
      </c>
      <c r="K145" s="200">
        <v>0</v>
      </c>
      <c r="L145" s="200">
        <v>0</v>
      </c>
      <c r="M145" s="203">
        <f t="shared" si="41"/>
        <v>0</v>
      </c>
      <c r="N145" s="200">
        <v>0</v>
      </c>
      <c r="O145" s="200">
        <v>0</v>
      </c>
      <c r="P145" s="200">
        <v>0</v>
      </c>
      <c r="Q145" s="200">
        <v>0</v>
      </c>
      <c r="R145" s="200">
        <v>0</v>
      </c>
      <c r="S145" s="200">
        <v>0</v>
      </c>
      <c r="T145" s="200">
        <v>0</v>
      </c>
      <c r="U145" s="203">
        <f t="shared" si="42"/>
        <v>0</v>
      </c>
      <c r="V145" s="200">
        <v>0</v>
      </c>
      <c r="W145" s="200">
        <v>0</v>
      </c>
      <c r="X145" s="200">
        <v>0</v>
      </c>
      <c r="Y145" s="200">
        <v>0</v>
      </c>
      <c r="Z145" s="200">
        <v>0</v>
      </c>
      <c r="AA145" s="200">
        <v>0</v>
      </c>
      <c r="AB145" s="200">
        <v>0</v>
      </c>
      <c r="AC145" s="203">
        <f t="shared" si="43"/>
        <v>0</v>
      </c>
      <c r="AD145" s="200">
        <v>0</v>
      </c>
      <c r="AE145" s="200">
        <v>0</v>
      </c>
      <c r="AF145" s="200">
        <v>0</v>
      </c>
      <c r="AG145" s="200">
        <v>0</v>
      </c>
      <c r="AH145" s="203">
        <f t="shared" si="44"/>
        <v>0</v>
      </c>
      <c r="AI145" s="200">
        <v>0</v>
      </c>
      <c r="AJ145" s="200">
        <v>0</v>
      </c>
      <c r="AK145" s="200">
        <v>0</v>
      </c>
      <c r="AL145" s="200">
        <v>0</v>
      </c>
      <c r="AM145" s="200">
        <v>0</v>
      </c>
      <c r="AN145" s="200">
        <v>0</v>
      </c>
      <c r="AO145" s="200">
        <v>0</v>
      </c>
      <c r="AP145" s="200">
        <v>0</v>
      </c>
      <c r="AQ145" s="200">
        <v>0</v>
      </c>
      <c r="AR145" s="203">
        <f t="shared" si="45"/>
        <v>0</v>
      </c>
      <c r="AS145" s="203">
        <f t="shared" si="46"/>
        <v>0</v>
      </c>
      <c r="AT145" s="200">
        <v>0</v>
      </c>
      <c r="AU145" s="200">
        <v>0</v>
      </c>
      <c r="AV145" s="200">
        <v>0</v>
      </c>
      <c r="AW145" s="200">
        <v>0</v>
      </c>
      <c r="AX145" s="200">
        <v>0</v>
      </c>
      <c r="AY145" s="200">
        <v>0</v>
      </c>
      <c r="AZ145" s="203">
        <f t="shared" si="47"/>
        <v>0</v>
      </c>
      <c r="BA145" s="200">
        <v>0</v>
      </c>
      <c r="BB145" s="200">
        <v>0</v>
      </c>
      <c r="BC145" s="200">
        <v>0</v>
      </c>
      <c r="BD145" s="200">
        <v>0</v>
      </c>
      <c r="BE145" s="200">
        <v>0</v>
      </c>
      <c r="BF145" s="200">
        <v>0</v>
      </c>
      <c r="BG145" s="200">
        <v>0</v>
      </c>
      <c r="BH145" s="200">
        <v>0</v>
      </c>
      <c r="BI145" s="200">
        <v>0</v>
      </c>
      <c r="BJ145" s="203">
        <f t="shared" si="48"/>
        <v>0</v>
      </c>
      <c r="BK145" s="203">
        <f t="shared" si="49"/>
        <v>0</v>
      </c>
      <c r="BL145" s="203">
        <f>$BO$9+SUMPRODUCT($D$10:D145,$BK$10:BK145)</f>
        <v>8046522.2985823154</v>
      </c>
      <c r="BM145" s="202">
        <f t="shared" si="50"/>
        <v>5.85</v>
      </c>
      <c r="BN145" s="203">
        <f t="shared" si="53"/>
        <v>1007380380.83011</v>
      </c>
      <c r="BO145" s="204">
        <f t="shared" si="51"/>
        <v>18227557830.9175</v>
      </c>
      <c r="BP145" s="201">
        <f t="shared" si="54"/>
        <v>0</v>
      </c>
      <c r="BQ145" s="201">
        <f t="shared" si="55"/>
        <v>0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>
      <c r="A146" s="165">
        <f t="shared" si="52"/>
        <v>137</v>
      </c>
      <c r="B146" s="166">
        <f t="shared" si="52"/>
        <v>2156</v>
      </c>
      <c r="C146" s="29">
        <v>5.85</v>
      </c>
      <c r="D146" s="164">
        <f t="shared" si="56"/>
        <v>4.0999999999999999E-4</v>
      </c>
      <c r="E146" s="200">
        <v>0</v>
      </c>
      <c r="F146" s="203">
        <f t="shared" si="38"/>
        <v>0</v>
      </c>
      <c r="G146" s="200">
        <v>0</v>
      </c>
      <c r="H146" s="200">
        <v>0</v>
      </c>
      <c r="I146" s="200">
        <v>0</v>
      </c>
      <c r="J146" s="200">
        <v>0</v>
      </c>
      <c r="K146" s="200">
        <v>0</v>
      </c>
      <c r="L146" s="200">
        <v>0</v>
      </c>
      <c r="M146" s="203">
        <f t="shared" si="41"/>
        <v>0</v>
      </c>
      <c r="N146" s="200">
        <v>0</v>
      </c>
      <c r="O146" s="200">
        <v>0</v>
      </c>
      <c r="P146" s="200">
        <v>0</v>
      </c>
      <c r="Q146" s="200">
        <v>0</v>
      </c>
      <c r="R146" s="200">
        <v>0</v>
      </c>
      <c r="S146" s="200">
        <v>0</v>
      </c>
      <c r="T146" s="200">
        <v>0</v>
      </c>
      <c r="U146" s="203">
        <f t="shared" si="42"/>
        <v>0</v>
      </c>
      <c r="V146" s="200">
        <v>0</v>
      </c>
      <c r="W146" s="200">
        <v>0</v>
      </c>
      <c r="X146" s="200">
        <v>0</v>
      </c>
      <c r="Y146" s="200">
        <v>0</v>
      </c>
      <c r="Z146" s="200">
        <v>0</v>
      </c>
      <c r="AA146" s="200">
        <v>0</v>
      </c>
      <c r="AB146" s="200">
        <v>0</v>
      </c>
      <c r="AC146" s="203">
        <f t="shared" si="43"/>
        <v>0</v>
      </c>
      <c r="AD146" s="200">
        <v>0</v>
      </c>
      <c r="AE146" s="200">
        <v>0</v>
      </c>
      <c r="AF146" s="200">
        <v>0</v>
      </c>
      <c r="AG146" s="200">
        <v>0</v>
      </c>
      <c r="AH146" s="203">
        <f t="shared" si="44"/>
        <v>0</v>
      </c>
      <c r="AI146" s="200">
        <v>0</v>
      </c>
      <c r="AJ146" s="200">
        <v>0</v>
      </c>
      <c r="AK146" s="200">
        <v>0</v>
      </c>
      <c r="AL146" s="200">
        <v>0</v>
      </c>
      <c r="AM146" s="200">
        <v>0</v>
      </c>
      <c r="AN146" s="200">
        <v>0</v>
      </c>
      <c r="AO146" s="200">
        <v>0</v>
      </c>
      <c r="AP146" s="200">
        <v>0</v>
      </c>
      <c r="AQ146" s="200">
        <v>0</v>
      </c>
      <c r="AR146" s="203">
        <f t="shared" si="45"/>
        <v>0</v>
      </c>
      <c r="AS146" s="203">
        <f t="shared" si="46"/>
        <v>0</v>
      </c>
      <c r="AT146" s="200">
        <v>0</v>
      </c>
      <c r="AU146" s="200">
        <v>0</v>
      </c>
      <c r="AV146" s="200">
        <v>0</v>
      </c>
      <c r="AW146" s="200">
        <v>0</v>
      </c>
      <c r="AX146" s="200">
        <v>0</v>
      </c>
      <c r="AY146" s="200">
        <v>0</v>
      </c>
      <c r="AZ146" s="203">
        <f t="shared" si="47"/>
        <v>0</v>
      </c>
      <c r="BA146" s="200">
        <v>0</v>
      </c>
      <c r="BB146" s="200">
        <v>0</v>
      </c>
      <c r="BC146" s="200">
        <v>0</v>
      </c>
      <c r="BD146" s="200">
        <v>0</v>
      </c>
      <c r="BE146" s="200">
        <v>0</v>
      </c>
      <c r="BF146" s="200">
        <v>0</v>
      </c>
      <c r="BG146" s="200">
        <v>0</v>
      </c>
      <c r="BH146" s="200">
        <v>0</v>
      </c>
      <c r="BI146" s="200">
        <v>0</v>
      </c>
      <c r="BJ146" s="203">
        <f t="shared" si="48"/>
        <v>0</v>
      </c>
      <c r="BK146" s="203">
        <f t="shared" si="49"/>
        <v>0</v>
      </c>
      <c r="BL146" s="203">
        <f>$BO$9+SUMPRODUCT($D$10:D146,$BK$10:BK146)</f>
        <v>8046522.2985823154</v>
      </c>
      <c r="BM146" s="202">
        <f t="shared" si="50"/>
        <v>5.85</v>
      </c>
      <c r="BN146" s="203">
        <f t="shared" si="53"/>
        <v>1066312133.10867</v>
      </c>
      <c r="BO146" s="204">
        <f t="shared" si="51"/>
        <v>19293869964.026199</v>
      </c>
      <c r="BP146" s="201">
        <f t="shared" si="54"/>
        <v>0</v>
      </c>
      <c r="BQ146" s="201">
        <f t="shared" si="55"/>
        <v>0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 s="165">
        <f t="shared" si="52"/>
        <v>138</v>
      </c>
      <c r="B147" s="166">
        <f t="shared" si="52"/>
        <v>2157</v>
      </c>
      <c r="C147" s="29">
        <v>5.85</v>
      </c>
      <c r="D147" s="164">
        <f t="shared" si="56"/>
        <v>3.8999999999999999E-4</v>
      </c>
      <c r="E147" s="200">
        <v>0</v>
      </c>
      <c r="F147" s="203">
        <f t="shared" si="38"/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3">
        <f t="shared" si="41"/>
        <v>0</v>
      </c>
      <c r="N147" s="200">
        <v>0</v>
      </c>
      <c r="O147" s="200">
        <v>0</v>
      </c>
      <c r="P147" s="200">
        <v>0</v>
      </c>
      <c r="Q147" s="200">
        <v>0</v>
      </c>
      <c r="R147" s="200">
        <v>0</v>
      </c>
      <c r="S147" s="200">
        <v>0</v>
      </c>
      <c r="T147" s="200">
        <v>0</v>
      </c>
      <c r="U147" s="203">
        <f t="shared" si="42"/>
        <v>0</v>
      </c>
      <c r="V147" s="200">
        <v>0</v>
      </c>
      <c r="W147" s="200">
        <v>0</v>
      </c>
      <c r="X147" s="200">
        <v>0</v>
      </c>
      <c r="Y147" s="200">
        <v>0</v>
      </c>
      <c r="Z147" s="200">
        <v>0</v>
      </c>
      <c r="AA147" s="200">
        <v>0</v>
      </c>
      <c r="AB147" s="200">
        <v>0</v>
      </c>
      <c r="AC147" s="203">
        <f t="shared" si="43"/>
        <v>0</v>
      </c>
      <c r="AD147" s="200">
        <v>0</v>
      </c>
      <c r="AE147" s="200">
        <v>0</v>
      </c>
      <c r="AF147" s="200">
        <v>0</v>
      </c>
      <c r="AG147" s="200">
        <v>0</v>
      </c>
      <c r="AH147" s="203">
        <f t="shared" si="44"/>
        <v>0</v>
      </c>
      <c r="AI147" s="200">
        <v>0</v>
      </c>
      <c r="AJ147" s="200">
        <v>0</v>
      </c>
      <c r="AK147" s="200">
        <v>0</v>
      </c>
      <c r="AL147" s="200">
        <v>0</v>
      </c>
      <c r="AM147" s="200">
        <v>0</v>
      </c>
      <c r="AN147" s="200">
        <v>0</v>
      </c>
      <c r="AO147" s="200">
        <v>0</v>
      </c>
      <c r="AP147" s="200">
        <v>0</v>
      </c>
      <c r="AQ147" s="200">
        <v>0</v>
      </c>
      <c r="AR147" s="203">
        <f t="shared" si="45"/>
        <v>0</v>
      </c>
      <c r="AS147" s="203">
        <f t="shared" si="46"/>
        <v>0</v>
      </c>
      <c r="AT147" s="200">
        <v>0</v>
      </c>
      <c r="AU147" s="200">
        <v>0</v>
      </c>
      <c r="AV147" s="200">
        <v>0</v>
      </c>
      <c r="AW147" s="200">
        <v>0</v>
      </c>
      <c r="AX147" s="200">
        <v>0</v>
      </c>
      <c r="AY147" s="200">
        <v>0</v>
      </c>
      <c r="AZ147" s="203">
        <f t="shared" si="47"/>
        <v>0</v>
      </c>
      <c r="BA147" s="200">
        <v>0</v>
      </c>
      <c r="BB147" s="200">
        <v>0</v>
      </c>
      <c r="BC147" s="200">
        <v>0</v>
      </c>
      <c r="BD147" s="200">
        <v>0</v>
      </c>
      <c r="BE147" s="200">
        <v>0</v>
      </c>
      <c r="BF147" s="200">
        <v>0</v>
      </c>
      <c r="BG147" s="200">
        <v>0</v>
      </c>
      <c r="BH147" s="200">
        <v>0</v>
      </c>
      <c r="BI147" s="200">
        <v>0</v>
      </c>
      <c r="BJ147" s="203">
        <f t="shared" si="48"/>
        <v>0</v>
      </c>
      <c r="BK147" s="203">
        <f t="shared" si="49"/>
        <v>0</v>
      </c>
      <c r="BL147" s="203">
        <f>$BO$9+SUMPRODUCT($D$10:D147,$BK$10:BK147)</f>
        <v>8046522.2985823154</v>
      </c>
      <c r="BM147" s="202">
        <f t="shared" si="50"/>
        <v>5.85</v>
      </c>
      <c r="BN147" s="203">
        <f t="shared" si="53"/>
        <v>1128691392.89553</v>
      </c>
      <c r="BO147" s="204">
        <f t="shared" si="51"/>
        <v>20422561356.9217</v>
      </c>
      <c r="BP147" s="201">
        <f t="shared" si="54"/>
        <v>0</v>
      </c>
      <c r="BQ147" s="201">
        <f t="shared" si="55"/>
        <v>0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>
      <c r="A148" s="165">
        <f t="shared" si="52"/>
        <v>139</v>
      </c>
      <c r="B148" s="166">
        <f t="shared" si="52"/>
        <v>2158</v>
      </c>
      <c r="C148" s="29">
        <v>5.85</v>
      </c>
      <c r="D148" s="164">
        <f t="shared" si="56"/>
        <v>3.6999999999999999E-4</v>
      </c>
      <c r="E148" s="200">
        <v>0</v>
      </c>
      <c r="F148" s="203">
        <f t="shared" si="38"/>
        <v>0</v>
      </c>
      <c r="G148" s="200">
        <v>0</v>
      </c>
      <c r="H148" s="200">
        <v>0</v>
      </c>
      <c r="I148" s="200">
        <v>0</v>
      </c>
      <c r="J148" s="200">
        <v>0</v>
      </c>
      <c r="K148" s="200">
        <v>0</v>
      </c>
      <c r="L148" s="200">
        <v>0</v>
      </c>
      <c r="M148" s="203">
        <f t="shared" si="41"/>
        <v>0</v>
      </c>
      <c r="N148" s="200">
        <v>0</v>
      </c>
      <c r="O148" s="200">
        <v>0</v>
      </c>
      <c r="P148" s="200">
        <v>0</v>
      </c>
      <c r="Q148" s="200">
        <v>0</v>
      </c>
      <c r="R148" s="200">
        <v>0</v>
      </c>
      <c r="S148" s="200">
        <v>0</v>
      </c>
      <c r="T148" s="200">
        <v>0</v>
      </c>
      <c r="U148" s="203">
        <f t="shared" si="42"/>
        <v>0</v>
      </c>
      <c r="V148" s="200">
        <v>0</v>
      </c>
      <c r="W148" s="200">
        <v>0</v>
      </c>
      <c r="X148" s="200">
        <v>0</v>
      </c>
      <c r="Y148" s="200">
        <v>0</v>
      </c>
      <c r="Z148" s="200">
        <v>0</v>
      </c>
      <c r="AA148" s="200">
        <v>0</v>
      </c>
      <c r="AB148" s="200">
        <v>0</v>
      </c>
      <c r="AC148" s="203">
        <f t="shared" si="43"/>
        <v>0</v>
      </c>
      <c r="AD148" s="200">
        <v>0</v>
      </c>
      <c r="AE148" s="200">
        <v>0</v>
      </c>
      <c r="AF148" s="200">
        <v>0</v>
      </c>
      <c r="AG148" s="200">
        <v>0</v>
      </c>
      <c r="AH148" s="203">
        <f t="shared" si="44"/>
        <v>0</v>
      </c>
      <c r="AI148" s="200">
        <v>0</v>
      </c>
      <c r="AJ148" s="200">
        <v>0</v>
      </c>
      <c r="AK148" s="200">
        <v>0</v>
      </c>
      <c r="AL148" s="200">
        <v>0</v>
      </c>
      <c r="AM148" s="200">
        <v>0</v>
      </c>
      <c r="AN148" s="200">
        <v>0</v>
      </c>
      <c r="AO148" s="200">
        <v>0</v>
      </c>
      <c r="AP148" s="200">
        <v>0</v>
      </c>
      <c r="AQ148" s="200">
        <v>0</v>
      </c>
      <c r="AR148" s="203">
        <f t="shared" si="45"/>
        <v>0</v>
      </c>
      <c r="AS148" s="203">
        <f t="shared" si="46"/>
        <v>0</v>
      </c>
      <c r="AT148" s="200">
        <v>0</v>
      </c>
      <c r="AU148" s="200">
        <v>0</v>
      </c>
      <c r="AV148" s="200">
        <v>0</v>
      </c>
      <c r="AW148" s="200">
        <v>0</v>
      </c>
      <c r="AX148" s="200">
        <v>0</v>
      </c>
      <c r="AY148" s="200">
        <v>0</v>
      </c>
      <c r="AZ148" s="203">
        <f t="shared" si="47"/>
        <v>0</v>
      </c>
      <c r="BA148" s="200">
        <v>0</v>
      </c>
      <c r="BB148" s="200">
        <v>0</v>
      </c>
      <c r="BC148" s="200">
        <v>0</v>
      </c>
      <c r="BD148" s="200">
        <v>0</v>
      </c>
      <c r="BE148" s="200">
        <v>0</v>
      </c>
      <c r="BF148" s="200">
        <v>0</v>
      </c>
      <c r="BG148" s="200">
        <v>0</v>
      </c>
      <c r="BH148" s="200">
        <v>0</v>
      </c>
      <c r="BI148" s="200">
        <v>0</v>
      </c>
      <c r="BJ148" s="203">
        <f t="shared" si="48"/>
        <v>0</v>
      </c>
      <c r="BK148" s="203">
        <f t="shared" si="49"/>
        <v>0</v>
      </c>
      <c r="BL148" s="203">
        <f>$BO$9+SUMPRODUCT($D$10:D148,$BK$10:BK148)</f>
        <v>8046522.2985823154</v>
      </c>
      <c r="BM148" s="202">
        <f t="shared" si="50"/>
        <v>5.85</v>
      </c>
      <c r="BN148" s="203">
        <f t="shared" si="53"/>
        <v>1194719839.37992</v>
      </c>
      <c r="BO148" s="204">
        <f t="shared" si="51"/>
        <v>21617281196.301601</v>
      </c>
      <c r="BP148" s="201">
        <f t="shared" si="54"/>
        <v>0</v>
      </c>
      <c r="BQ148" s="201">
        <f t="shared" si="55"/>
        <v>0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>
      <c r="A149" s="165">
        <f t="shared" si="52"/>
        <v>140</v>
      </c>
      <c r="B149" s="166">
        <f t="shared" si="52"/>
        <v>2159</v>
      </c>
      <c r="C149" s="29">
        <v>5.85</v>
      </c>
      <c r="D149" s="164">
        <f t="shared" si="56"/>
        <v>3.5E-4</v>
      </c>
      <c r="E149" s="200">
        <v>0</v>
      </c>
      <c r="F149" s="203">
        <f t="shared" si="38"/>
        <v>0</v>
      </c>
      <c r="G149" s="200">
        <v>0</v>
      </c>
      <c r="H149" s="200">
        <v>0</v>
      </c>
      <c r="I149" s="200">
        <v>0</v>
      </c>
      <c r="J149" s="200">
        <v>0</v>
      </c>
      <c r="K149" s="200">
        <v>0</v>
      </c>
      <c r="L149" s="200">
        <v>0</v>
      </c>
      <c r="M149" s="203">
        <f t="shared" si="41"/>
        <v>0</v>
      </c>
      <c r="N149" s="200">
        <v>0</v>
      </c>
      <c r="O149" s="200">
        <v>0</v>
      </c>
      <c r="P149" s="200">
        <v>0</v>
      </c>
      <c r="Q149" s="200">
        <v>0</v>
      </c>
      <c r="R149" s="200">
        <v>0</v>
      </c>
      <c r="S149" s="200">
        <v>0</v>
      </c>
      <c r="T149" s="200">
        <v>0</v>
      </c>
      <c r="U149" s="203">
        <f t="shared" si="42"/>
        <v>0</v>
      </c>
      <c r="V149" s="200">
        <v>0</v>
      </c>
      <c r="W149" s="200">
        <v>0</v>
      </c>
      <c r="X149" s="200">
        <v>0</v>
      </c>
      <c r="Y149" s="200">
        <v>0</v>
      </c>
      <c r="Z149" s="200">
        <v>0</v>
      </c>
      <c r="AA149" s="200">
        <v>0</v>
      </c>
      <c r="AB149" s="200">
        <v>0</v>
      </c>
      <c r="AC149" s="203">
        <f t="shared" si="43"/>
        <v>0</v>
      </c>
      <c r="AD149" s="200">
        <v>0</v>
      </c>
      <c r="AE149" s="200">
        <v>0</v>
      </c>
      <c r="AF149" s="200">
        <v>0</v>
      </c>
      <c r="AG149" s="200">
        <v>0</v>
      </c>
      <c r="AH149" s="203">
        <f t="shared" si="44"/>
        <v>0</v>
      </c>
      <c r="AI149" s="200">
        <v>0</v>
      </c>
      <c r="AJ149" s="200">
        <v>0</v>
      </c>
      <c r="AK149" s="200">
        <v>0</v>
      </c>
      <c r="AL149" s="200">
        <v>0</v>
      </c>
      <c r="AM149" s="200">
        <v>0</v>
      </c>
      <c r="AN149" s="200">
        <v>0</v>
      </c>
      <c r="AO149" s="200">
        <v>0</v>
      </c>
      <c r="AP149" s="200">
        <v>0</v>
      </c>
      <c r="AQ149" s="200">
        <v>0</v>
      </c>
      <c r="AR149" s="203">
        <f t="shared" si="45"/>
        <v>0</v>
      </c>
      <c r="AS149" s="203">
        <f t="shared" si="46"/>
        <v>0</v>
      </c>
      <c r="AT149" s="200">
        <v>0</v>
      </c>
      <c r="AU149" s="200">
        <v>0</v>
      </c>
      <c r="AV149" s="200">
        <v>0</v>
      </c>
      <c r="AW149" s="200">
        <v>0</v>
      </c>
      <c r="AX149" s="200">
        <v>0</v>
      </c>
      <c r="AY149" s="200">
        <v>0</v>
      </c>
      <c r="AZ149" s="203">
        <f t="shared" si="47"/>
        <v>0</v>
      </c>
      <c r="BA149" s="200">
        <v>0</v>
      </c>
      <c r="BB149" s="200">
        <v>0</v>
      </c>
      <c r="BC149" s="200">
        <v>0</v>
      </c>
      <c r="BD149" s="200">
        <v>0</v>
      </c>
      <c r="BE149" s="200">
        <v>0</v>
      </c>
      <c r="BF149" s="200">
        <v>0</v>
      </c>
      <c r="BG149" s="200">
        <v>0</v>
      </c>
      <c r="BH149" s="200">
        <v>0</v>
      </c>
      <c r="BI149" s="200">
        <v>0</v>
      </c>
      <c r="BJ149" s="203">
        <f t="shared" si="48"/>
        <v>0</v>
      </c>
      <c r="BK149" s="203">
        <f t="shared" si="49"/>
        <v>0</v>
      </c>
      <c r="BL149" s="203">
        <f>$BO$9+SUMPRODUCT($D$10:D149,$BK$10:BK149)</f>
        <v>8046522.2985823154</v>
      </c>
      <c r="BM149" s="202">
        <f t="shared" si="50"/>
        <v>5.85</v>
      </c>
      <c r="BN149" s="203">
        <f t="shared" si="53"/>
        <v>1264610949.98364</v>
      </c>
      <c r="BO149" s="204">
        <f t="shared" si="51"/>
        <v>22881892146.285198</v>
      </c>
      <c r="BP149" s="201">
        <f t="shared" si="54"/>
        <v>0</v>
      </c>
      <c r="BQ149" s="201">
        <f t="shared" si="55"/>
        <v>0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>
      <c r="A150" s="165">
        <f t="shared" si="52"/>
        <v>141</v>
      </c>
      <c r="B150" s="166">
        <f t="shared" si="52"/>
        <v>2160</v>
      </c>
      <c r="C150" s="29">
        <v>5.85</v>
      </c>
      <c r="D150" s="164">
        <f t="shared" si="56"/>
        <v>3.3E-4</v>
      </c>
      <c r="E150" s="200">
        <v>0</v>
      </c>
      <c r="F150" s="203">
        <f t="shared" si="38"/>
        <v>0</v>
      </c>
      <c r="G150" s="200">
        <v>0</v>
      </c>
      <c r="H150" s="200">
        <v>0</v>
      </c>
      <c r="I150" s="200">
        <v>0</v>
      </c>
      <c r="J150" s="200">
        <v>0</v>
      </c>
      <c r="K150" s="200">
        <v>0</v>
      </c>
      <c r="L150" s="200">
        <v>0</v>
      </c>
      <c r="M150" s="203">
        <f t="shared" si="41"/>
        <v>0</v>
      </c>
      <c r="N150" s="200">
        <v>0</v>
      </c>
      <c r="O150" s="200">
        <v>0</v>
      </c>
      <c r="P150" s="200">
        <v>0</v>
      </c>
      <c r="Q150" s="200">
        <v>0</v>
      </c>
      <c r="R150" s="200">
        <v>0</v>
      </c>
      <c r="S150" s="200">
        <v>0</v>
      </c>
      <c r="T150" s="200">
        <v>0</v>
      </c>
      <c r="U150" s="203">
        <f t="shared" si="42"/>
        <v>0</v>
      </c>
      <c r="V150" s="200">
        <v>0</v>
      </c>
      <c r="W150" s="200">
        <v>0</v>
      </c>
      <c r="X150" s="200">
        <v>0</v>
      </c>
      <c r="Y150" s="200">
        <v>0</v>
      </c>
      <c r="Z150" s="200">
        <v>0</v>
      </c>
      <c r="AA150" s="200">
        <v>0</v>
      </c>
      <c r="AB150" s="200">
        <v>0</v>
      </c>
      <c r="AC150" s="203">
        <f t="shared" si="43"/>
        <v>0</v>
      </c>
      <c r="AD150" s="200">
        <v>0</v>
      </c>
      <c r="AE150" s="200">
        <v>0</v>
      </c>
      <c r="AF150" s="200">
        <v>0</v>
      </c>
      <c r="AG150" s="200">
        <v>0</v>
      </c>
      <c r="AH150" s="203">
        <f t="shared" si="44"/>
        <v>0</v>
      </c>
      <c r="AI150" s="200">
        <v>0</v>
      </c>
      <c r="AJ150" s="200">
        <v>0</v>
      </c>
      <c r="AK150" s="200">
        <v>0</v>
      </c>
      <c r="AL150" s="200">
        <v>0</v>
      </c>
      <c r="AM150" s="200">
        <v>0</v>
      </c>
      <c r="AN150" s="200">
        <v>0</v>
      </c>
      <c r="AO150" s="200">
        <v>0</v>
      </c>
      <c r="AP150" s="200">
        <v>0</v>
      </c>
      <c r="AQ150" s="200">
        <v>0</v>
      </c>
      <c r="AR150" s="203">
        <f t="shared" si="45"/>
        <v>0</v>
      </c>
      <c r="AS150" s="203">
        <f t="shared" si="46"/>
        <v>0</v>
      </c>
      <c r="AT150" s="200">
        <v>0</v>
      </c>
      <c r="AU150" s="200">
        <v>0</v>
      </c>
      <c r="AV150" s="200">
        <v>0</v>
      </c>
      <c r="AW150" s="200">
        <v>0</v>
      </c>
      <c r="AX150" s="200">
        <v>0</v>
      </c>
      <c r="AY150" s="200">
        <v>0</v>
      </c>
      <c r="AZ150" s="203">
        <f t="shared" si="47"/>
        <v>0</v>
      </c>
      <c r="BA150" s="200">
        <v>0</v>
      </c>
      <c r="BB150" s="200">
        <v>0</v>
      </c>
      <c r="BC150" s="200">
        <v>0</v>
      </c>
      <c r="BD150" s="200">
        <v>0</v>
      </c>
      <c r="BE150" s="200">
        <v>0</v>
      </c>
      <c r="BF150" s="200">
        <v>0</v>
      </c>
      <c r="BG150" s="200">
        <v>0</v>
      </c>
      <c r="BH150" s="200">
        <v>0</v>
      </c>
      <c r="BI150" s="200">
        <v>0</v>
      </c>
      <c r="BJ150" s="203">
        <f t="shared" si="48"/>
        <v>0</v>
      </c>
      <c r="BK150" s="203">
        <f t="shared" si="49"/>
        <v>0</v>
      </c>
      <c r="BL150" s="203">
        <f>$BO$9+SUMPRODUCT($D$10:D150,$BK$10:BK150)</f>
        <v>8046522.2985823154</v>
      </c>
      <c r="BM150" s="202">
        <f t="shared" si="50"/>
        <v>5.85</v>
      </c>
      <c r="BN150" s="203">
        <f t="shared" si="53"/>
        <v>1338590690.5576799</v>
      </c>
      <c r="BO150" s="204">
        <f t="shared" si="51"/>
        <v>24220482836.842899</v>
      </c>
      <c r="BP150" s="201">
        <f t="shared" si="54"/>
        <v>0</v>
      </c>
      <c r="BQ150" s="201">
        <f t="shared" si="55"/>
        <v>0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1" spans="1:1024">
      <c r="A151" s="165">
        <f t="shared" si="52"/>
        <v>142</v>
      </c>
      <c r="B151" s="166">
        <f t="shared" si="52"/>
        <v>2161</v>
      </c>
      <c r="C151" s="29">
        <v>5.85</v>
      </c>
      <c r="D151" s="164">
        <f t="shared" si="56"/>
        <v>3.1E-4</v>
      </c>
      <c r="E151" s="200">
        <v>0</v>
      </c>
      <c r="F151" s="203">
        <f t="shared" si="38"/>
        <v>0</v>
      </c>
      <c r="G151" s="200">
        <v>0</v>
      </c>
      <c r="H151" s="200">
        <v>0</v>
      </c>
      <c r="I151" s="200">
        <v>0</v>
      </c>
      <c r="J151" s="200">
        <v>0</v>
      </c>
      <c r="K151" s="200">
        <v>0</v>
      </c>
      <c r="L151" s="200">
        <v>0</v>
      </c>
      <c r="M151" s="203">
        <f t="shared" si="41"/>
        <v>0</v>
      </c>
      <c r="N151" s="200">
        <v>0</v>
      </c>
      <c r="O151" s="200">
        <v>0</v>
      </c>
      <c r="P151" s="200">
        <v>0</v>
      </c>
      <c r="Q151" s="200">
        <v>0</v>
      </c>
      <c r="R151" s="200">
        <v>0</v>
      </c>
      <c r="S151" s="200">
        <v>0</v>
      </c>
      <c r="T151" s="200">
        <v>0</v>
      </c>
      <c r="U151" s="203">
        <f t="shared" si="42"/>
        <v>0</v>
      </c>
      <c r="V151" s="200">
        <v>0</v>
      </c>
      <c r="W151" s="200">
        <v>0</v>
      </c>
      <c r="X151" s="200">
        <v>0</v>
      </c>
      <c r="Y151" s="200">
        <v>0</v>
      </c>
      <c r="Z151" s="200">
        <v>0</v>
      </c>
      <c r="AA151" s="200">
        <v>0</v>
      </c>
      <c r="AB151" s="200">
        <v>0</v>
      </c>
      <c r="AC151" s="203">
        <f t="shared" si="43"/>
        <v>0</v>
      </c>
      <c r="AD151" s="200">
        <v>0</v>
      </c>
      <c r="AE151" s="200">
        <v>0</v>
      </c>
      <c r="AF151" s="200">
        <v>0</v>
      </c>
      <c r="AG151" s="200">
        <v>0</v>
      </c>
      <c r="AH151" s="203">
        <f t="shared" si="44"/>
        <v>0</v>
      </c>
      <c r="AI151" s="200">
        <v>0</v>
      </c>
      <c r="AJ151" s="200">
        <v>0</v>
      </c>
      <c r="AK151" s="200">
        <v>0</v>
      </c>
      <c r="AL151" s="200">
        <v>0</v>
      </c>
      <c r="AM151" s="200">
        <v>0</v>
      </c>
      <c r="AN151" s="200">
        <v>0</v>
      </c>
      <c r="AO151" s="200">
        <v>0</v>
      </c>
      <c r="AP151" s="200">
        <v>0</v>
      </c>
      <c r="AQ151" s="200">
        <v>0</v>
      </c>
      <c r="AR151" s="203">
        <f t="shared" si="45"/>
        <v>0</v>
      </c>
      <c r="AS151" s="203">
        <f t="shared" si="46"/>
        <v>0</v>
      </c>
      <c r="AT151" s="200">
        <v>0</v>
      </c>
      <c r="AU151" s="200">
        <v>0</v>
      </c>
      <c r="AV151" s="200">
        <v>0</v>
      </c>
      <c r="AW151" s="200">
        <v>0</v>
      </c>
      <c r="AX151" s="200">
        <v>0</v>
      </c>
      <c r="AY151" s="200">
        <v>0</v>
      </c>
      <c r="AZ151" s="203">
        <f t="shared" si="47"/>
        <v>0</v>
      </c>
      <c r="BA151" s="200">
        <v>0</v>
      </c>
      <c r="BB151" s="200">
        <v>0</v>
      </c>
      <c r="BC151" s="200">
        <v>0</v>
      </c>
      <c r="BD151" s="200">
        <v>0</v>
      </c>
      <c r="BE151" s="200">
        <v>0</v>
      </c>
      <c r="BF151" s="200">
        <v>0</v>
      </c>
      <c r="BG151" s="200">
        <v>0</v>
      </c>
      <c r="BH151" s="200">
        <v>0</v>
      </c>
      <c r="BI151" s="200">
        <v>0</v>
      </c>
      <c r="BJ151" s="203">
        <f t="shared" si="48"/>
        <v>0</v>
      </c>
      <c r="BK151" s="203">
        <f t="shared" si="49"/>
        <v>0</v>
      </c>
      <c r="BL151" s="203">
        <f>$BO$9+SUMPRODUCT($D$10:D151,$BK$10:BK151)</f>
        <v>8046522.2985823154</v>
      </c>
      <c r="BM151" s="202">
        <f t="shared" si="50"/>
        <v>5.85</v>
      </c>
      <c r="BN151" s="203">
        <f t="shared" si="53"/>
        <v>1416898245.9553101</v>
      </c>
      <c r="BO151" s="204">
        <f t="shared" si="51"/>
        <v>25637381082.798199</v>
      </c>
      <c r="BP151" s="201">
        <f t="shared" si="54"/>
        <v>0</v>
      </c>
      <c r="BQ151" s="201">
        <f t="shared" si="55"/>
        <v>0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  <c r="AMG151"/>
      <c r="AMH151"/>
      <c r="AMI151"/>
      <c r="AMJ151"/>
    </row>
    <row r="152" spans="1:1024">
      <c r="A152" s="165">
        <f t="shared" si="52"/>
        <v>143</v>
      </c>
      <c r="B152" s="166">
        <f t="shared" si="52"/>
        <v>2162</v>
      </c>
      <c r="C152" s="29">
        <v>5.85</v>
      </c>
      <c r="D152" s="164">
        <f t="shared" si="56"/>
        <v>2.9E-4</v>
      </c>
      <c r="E152" s="200">
        <v>0</v>
      </c>
      <c r="F152" s="203">
        <f t="shared" si="38"/>
        <v>0</v>
      </c>
      <c r="G152" s="200">
        <v>0</v>
      </c>
      <c r="H152" s="200">
        <v>0</v>
      </c>
      <c r="I152" s="200">
        <v>0</v>
      </c>
      <c r="J152" s="200">
        <v>0</v>
      </c>
      <c r="K152" s="200">
        <v>0</v>
      </c>
      <c r="L152" s="200">
        <v>0</v>
      </c>
      <c r="M152" s="203">
        <f t="shared" si="41"/>
        <v>0</v>
      </c>
      <c r="N152" s="200">
        <v>0</v>
      </c>
      <c r="O152" s="200">
        <v>0</v>
      </c>
      <c r="P152" s="200">
        <v>0</v>
      </c>
      <c r="Q152" s="200">
        <v>0</v>
      </c>
      <c r="R152" s="200">
        <v>0</v>
      </c>
      <c r="S152" s="200">
        <v>0</v>
      </c>
      <c r="T152" s="200">
        <v>0</v>
      </c>
      <c r="U152" s="203">
        <f t="shared" si="42"/>
        <v>0</v>
      </c>
      <c r="V152" s="200">
        <v>0</v>
      </c>
      <c r="W152" s="200">
        <v>0</v>
      </c>
      <c r="X152" s="200">
        <v>0</v>
      </c>
      <c r="Y152" s="200">
        <v>0</v>
      </c>
      <c r="Z152" s="200">
        <v>0</v>
      </c>
      <c r="AA152" s="200">
        <v>0</v>
      </c>
      <c r="AB152" s="200">
        <v>0</v>
      </c>
      <c r="AC152" s="203">
        <f t="shared" si="43"/>
        <v>0</v>
      </c>
      <c r="AD152" s="200">
        <v>0</v>
      </c>
      <c r="AE152" s="200">
        <v>0</v>
      </c>
      <c r="AF152" s="200">
        <v>0</v>
      </c>
      <c r="AG152" s="200">
        <v>0</v>
      </c>
      <c r="AH152" s="203">
        <f t="shared" si="44"/>
        <v>0</v>
      </c>
      <c r="AI152" s="200">
        <v>0</v>
      </c>
      <c r="AJ152" s="200">
        <v>0</v>
      </c>
      <c r="AK152" s="200">
        <v>0</v>
      </c>
      <c r="AL152" s="200">
        <v>0</v>
      </c>
      <c r="AM152" s="200">
        <v>0</v>
      </c>
      <c r="AN152" s="200">
        <v>0</v>
      </c>
      <c r="AO152" s="200">
        <v>0</v>
      </c>
      <c r="AP152" s="200">
        <v>0</v>
      </c>
      <c r="AQ152" s="200">
        <v>0</v>
      </c>
      <c r="AR152" s="203">
        <f t="shared" si="45"/>
        <v>0</v>
      </c>
      <c r="AS152" s="203">
        <f t="shared" si="46"/>
        <v>0</v>
      </c>
      <c r="AT152" s="200">
        <v>0</v>
      </c>
      <c r="AU152" s="200">
        <v>0</v>
      </c>
      <c r="AV152" s="200">
        <v>0</v>
      </c>
      <c r="AW152" s="200">
        <v>0</v>
      </c>
      <c r="AX152" s="200">
        <v>0</v>
      </c>
      <c r="AY152" s="200">
        <v>0</v>
      </c>
      <c r="AZ152" s="203">
        <f t="shared" si="47"/>
        <v>0</v>
      </c>
      <c r="BA152" s="200">
        <v>0</v>
      </c>
      <c r="BB152" s="200">
        <v>0</v>
      </c>
      <c r="BC152" s="200">
        <v>0</v>
      </c>
      <c r="BD152" s="200">
        <v>0</v>
      </c>
      <c r="BE152" s="200">
        <v>0</v>
      </c>
      <c r="BF152" s="200">
        <v>0</v>
      </c>
      <c r="BG152" s="200">
        <v>0</v>
      </c>
      <c r="BH152" s="200">
        <v>0</v>
      </c>
      <c r="BI152" s="200">
        <v>0</v>
      </c>
      <c r="BJ152" s="203">
        <f t="shared" si="48"/>
        <v>0</v>
      </c>
      <c r="BK152" s="203">
        <f t="shared" si="49"/>
        <v>0</v>
      </c>
      <c r="BL152" s="203">
        <f>$BO$9+SUMPRODUCT($D$10:D152,$BK$10:BK152)</f>
        <v>8046522.2985823154</v>
      </c>
      <c r="BM152" s="202">
        <f t="shared" si="50"/>
        <v>5.85</v>
      </c>
      <c r="BN152" s="203">
        <f t="shared" si="53"/>
        <v>1499786793.3436899</v>
      </c>
      <c r="BO152" s="204">
        <f t="shared" si="51"/>
        <v>27137167876.141899</v>
      </c>
      <c r="BP152" s="201">
        <f t="shared" si="54"/>
        <v>0</v>
      </c>
      <c r="BQ152" s="201">
        <f t="shared" si="55"/>
        <v>0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>
      <c r="A153" s="165">
        <f t="shared" si="52"/>
        <v>144</v>
      </c>
      <c r="B153" s="166">
        <f t="shared" si="52"/>
        <v>2163</v>
      </c>
      <c r="C153" s="29">
        <v>5.85</v>
      </c>
      <c r="D153" s="164">
        <f t="shared" si="56"/>
        <v>2.7E-4</v>
      </c>
      <c r="E153" s="200">
        <v>0</v>
      </c>
      <c r="F153" s="203">
        <f t="shared" si="38"/>
        <v>0</v>
      </c>
      <c r="G153" s="200">
        <v>0</v>
      </c>
      <c r="H153" s="200">
        <v>0</v>
      </c>
      <c r="I153" s="200">
        <v>0</v>
      </c>
      <c r="J153" s="200">
        <v>0</v>
      </c>
      <c r="K153" s="200">
        <v>0</v>
      </c>
      <c r="L153" s="200">
        <v>0</v>
      </c>
      <c r="M153" s="203">
        <f t="shared" si="41"/>
        <v>0</v>
      </c>
      <c r="N153" s="200">
        <v>0</v>
      </c>
      <c r="O153" s="200">
        <v>0</v>
      </c>
      <c r="P153" s="200">
        <v>0</v>
      </c>
      <c r="Q153" s="200">
        <v>0</v>
      </c>
      <c r="R153" s="200">
        <v>0</v>
      </c>
      <c r="S153" s="200">
        <v>0</v>
      </c>
      <c r="T153" s="200">
        <v>0</v>
      </c>
      <c r="U153" s="203">
        <f t="shared" si="42"/>
        <v>0</v>
      </c>
      <c r="V153" s="200">
        <v>0</v>
      </c>
      <c r="W153" s="200">
        <v>0</v>
      </c>
      <c r="X153" s="200">
        <v>0</v>
      </c>
      <c r="Y153" s="200">
        <v>0</v>
      </c>
      <c r="Z153" s="200">
        <v>0</v>
      </c>
      <c r="AA153" s="200">
        <v>0</v>
      </c>
      <c r="AB153" s="200">
        <v>0</v>
      </c>
      <c r="AC153" s="203">
        <f t="shared" si="43"/>
        <v>0</v>
      </c>
      <c r="AD153" s="200">
        <v>0</v>
      </c>
      <c r="AE153" s="200">
        <v>0</v>
      </c>
      <c r="AF153" s="200">
        <v>0</v>
      </c>
      <c r="AG153" s="200">
        <v>0</v>
      </c>
      <c r="AH153" s="203">
        <f t="shared" si="44"/>
        <v>0</v>
      </c>
      <c r="AI153" s="200">
        <v>0</v>
      </c>
      <c r="AJ153" s="200">
        <v>0</v>
      </c>
      <c r="AK153" s="200">
        <v>0</v>
      </c>
      <c r="AL153" s="200">
        <v>0</v>
      </c>
      <c r="AM153" s="200">
        <v>0</v>
      </c>
      <c r="AN153" s="200">
        <v>0</v>
      </c>
      <c r="AO153" s="200">
        <v>0</v>
      </c>
      <c r="AP153" s="200">
        <v>0</v>
      </c>
      <c r="AQ153" s="200">
        <v>0</v>
      </c>
      <c r="AR153" s="203">
        <f t="shared" si="45"/>
        <v>0</v>
      </c>
      <c r="AS153" s="203">
        <f t="shared" si="46"/>
        <v>0</v>
      </c>
      <c r="AT153" s="200">
        <v>0</v>
      </c>
      <c r="AU153" s="200">
        <v>0</v>
      </c>
      <c r="AV153" s="200">
        <v>0</v>
      </c>
      <c r="AW153" s="200">
        <v>0</v>
      </c>
      <c r="AX153" s="200">
        <v>0</v>
      </c>
      <c r="AY153" s="200">
        <v>0</v>
      </c>
      <c r="AZ153" s="203">
        <f t="shared" si="47"/>
        <v>0</v>
      </c>
      <c r="BA153" s="200">
        <v>0</v>
      </c>
      <c r="BB153" s="200">
        <v>0</v>
      </c>
      <c r="BC153" s="200">
        <v>0</v>
      </c>
      <c r="BD153" s="200">
        <v>0</v>
      </c>
      <c r="BE153" s="200">
        <v>0</v>
      </c>
      <c r="BF153" s="200">
        <v>0</v>
      </c>
      <c r="BG153" s="200">
        <v>0</v>
      </c>
      <c r="BH153" s="200">
        <v>0</v>
      </c>
      <c r="BI153" s="200">
        <v>0</v>
      </c>
      <c r="BJ153" s="203">
        <f t="shared" si="48"/>
        <v>0</v>
      </c>
      <c r="BK153" s="203">
        <f t="shared" si="49"/>
        <v>0</v>
      </c>
      <c r="BL153" s="203">
        <f>$BO$9+SUMPRODUCT($D$10:D153,$BK$10:BK153)</f>
        <v>8046522.2985823154</v>
      </c>
      <c r="BM153" s="202">
        <f t="shared" si="50"/>
        <v>5.85</v>
      </c>
      <c r="BN153" s="203">
        <f t="shared" si="53"/>
        <v>1587524320.7543001</v>
      </c>
      <c r="BO153" s="204">
        <f t="shared" si="51"/>
        <v>28724692196.896198</v>
      </c>
      <c r="BP153" s="201">
        <f t="shared" si="54"/>
        <v>0</v>
      </c>
      <c r="BQ153" s="201">
        <f t="shared" si="55"/>
        <v>0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>
      <c r="A154" s="165">
        <f t="shared" si="52"/>
        <v>145</v>
      </c>
      <c r="B154" s="166">
        <f t="shared" si="52"/>
        <v>2164</v>
      </c>
      <c r="C154" s="29">
        <v>5.85</v>
      </c>
      <c r="D154" s="164">
        <f t="shared" si="56"/>
        <v>2.5999999999999998E-4</v>
      </c>
      <c r="E154" s="200">
        <v>0</v>
      </c>
      <c r="F154" s="203">
        <f t="shared" si="38"/>
        <v>0</v>
      </c>
      <c r="G154" s="200">
        <v>0</v>
      </c>
      <c r="H154" s="200">
        <v>0</v>
      </c>
      <c r="I154" s="200">
        <v>0</v>
      </c>
      <c r="J154" s="200">
        <v>0</v>
      </c>
      <c r="K154" s="200">
        <v>0</v>
      </c>
      <c r="L154" s="200">
        <v>0</v>
      </c>
      <c r="M154" s="203">
        <f t="shared" si="41"/>
        <v>0</v>
      </c>
      <c r="N154" s="200">
        <v>0</v>
      </c>
      <c r="O154" s="200">
        <v>0</v>
      </c>
      <c r="P154" s="200">
        <v>0</v>
      </c>
      <c r="Q154" s="200">
        <v>0</v>
      </c>
      <c r="R154" s="200">
        <v>0</v>
      </c>
      <c r="S154" s="200">
        <v>0</v>
      </c>
      <c r="T154" s="200">
        <v>0</v>
      </c>
      <c r="U154" s="203">
        <f t="shared" si="42"/>
        <v>0</v>
      </c>
      <c r="V154" s="200">
        <v>0</v>
      </c>
      <c r="W154" s="200">
        <v>0</v>
      </c>
      <c r="X154" s="200">
        <v>0</v>
      </c>
      <c r="Y154" s="200">
        <v>0</v>
      </c>
      <c r="Z154" s="200">
        <v>0</v>
      </c>
      <c r="AA154" s="200">
        <v>0</v>
      </c>
      <c r="AB154" s="200">
        <v>0</v>
      </c>
      <c r="AC154" s="203">
        <f t="shared" si="43"/>
        <v>0</v>
      </c>
      <c r="AD154" s="200">
        <v>0</v>
      </c>
      <c r="AE154" s="200">
        <v>0</v>
      </c>
      <c r="AF154" s="200">
        <v>0</v>
      </c>
      <c r="AG154" s="200">
        <v>0</v>
      </c>
      <c r="AH154" s="203">
        <f t="shared" si="44"/>
        <v>0</v>
      </c>
      <c r="AI154" s="200">
        <v>0</v>
      </c>
      <c r="AJ154" s="200">
        <v>0</v>
      </c>
      <c r="AK154" s="200">
        <v>0</v>
      </c>
      <c r="AL154" s="200">
        <v>0</v>
      </c>
      <c r="AM154" s="200">
        <v>0</v>
      </c>
      <c r="AN154" s="200">
        <v>0</v>
      </c>
      <c r="AO154" s="200">
        <v>0</v>
      </c>
      <c r="AP154" s="200">
        <v>0</v>
      </c>
      <c r="AQ154" s="200">
        <v>0</v>
      </c>
      <c r="AR154" s="203">
        <f t="shared" si="45"/>
        <v>0</v>
      </c>
      <c r="AS154" s="203">
        <f t="shared" si="46"/>
        <v>0</v>
      </c>
      <c r="AT154" s="200">
        <v>0</v>
      </c>
      <c r="AU154" s="200">
        <v>0</v>
      </c>
      <c r="AV154" s="200">
        <v>0</v>
      </c>
      <c r="AW154" s="200">
        <v>0</v>
      </c>
      <c r="AX154" s="200">
        <v>0</v>
      </c>
      <c r="AY154" s="200">
        <v>0</v>
      </c>
      <c r="AZ154" s="203">
        <f t="shared" si="47"/>
        <v>0</v>
      </c>
      <c r="BA154" s="200">
        <v>0</v>
      </c>
      <c r="BB154" s="200">
        <v>0</v>
      </c>
      <c r="BC154" s="200">
        <v>0</v>
      </c>
      <c r="BD154" s="200">
        <v>0</v>
      </c>
      <c r="BE154" s="200">
        <v>0</v>
      </c>
      <c r="BF154" s="200">
        <v>0</v>
      </c>
      <c r="BG154" s="200">
        <v>0</v>
      </c>
      <c r="BH154" s="200">
        <v>0</v>
      </c>
      <c r="BI154" s="200">
        <v>0</v>
      </c>
      <c r="BJ154" s="203">
        <f t="shared" si="48"/>
        <v>0</v>
      </c>
      <c r="BK154" s="203">
        <f t="shared" si="49"/>
        <v>0</v>
      </c>
      <c r="BL154" s="203">
        <f>$BO$9+SUMPRODUCT($D$10:D154,$BK$10:BK154)</f>
        <v>8046522.2985823154</v>
      </c>
      <c r="BM154" s="202">
        <f t="shared" si="50"/>
        <v>5.85</v>
      </c>
      <c r="BN154" s="203">
        <f t="shared" si="53"/>
        <v>1680394493.51843</v>
      </c>
      <c r="BO154" s="204">
        <f t="shared" si="51"/>
        <v>30405086690.4146</v>
      </c>
      <c r="BP154" s="201">
        <f t="shared" si="54"/>
        <v>0</v>
      </c>
      <c r="BQ154" s="201">
        <f t="shared" si="55"/>
        <v>0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>
      <c r="A155" s="165">
        <f t="shared" ref="A155:B159" si="57">A154+1</f>
        <v>146</v>
      </c>
      <c r="B155" s="166">
        <f t="shared" si="57"/>
        <v>2165</v>
      </c>
      <c r="C155" s="29">
        <v>5.85</v>
      </c>
      <c r="D155" s="164">
        <f t="shared" si="56"/>
        <v>2.5000000000000001E-4</v>
      </c>
      <c r="E155" s="200">
        <v>0</v>
      </c>
      <c r="F155" s="203">
        <f t="shared" si="38"/>
        <v>0</v>
      </c>
      <c r="G155" s="200">
        <v>0</v>
      </c>
      <c r="H155" s="200">
        <v>0</v>
      </c>
      <c r="I155" s="200">
        <v>0</v>
      </c>
      <c r="J155" s="200">
        <v>0</v>
      </c>
      <c r="K155" s="200">
        <v>0</v>
      </c>
      <c r="L155" s="200">
        <v>0</v>
      </c>
      <c r="M155" s="203">
        <f t="shared" si="41"/>
        <v>0</v>
      </c>
      <c r="N155" s="200">
        <v>0</v>
      </c>
      <c r="O155" s="200">
        <v>0</v>
      </c>
      <c r="P155" s="200">
        <v>0</v>
      </c>
      <c r="Q155" s="200">
        <v>0</v>
      </c>
      <c r="R155" s="200">
        <v>0</v>
      </c>
      <c r="S155" s="200">
        <v>0</v>
      </c>
      <c r="T155" s="200">
        <v>0</v>
      </c>
      <c r="U155" s="203">
        <f t="shared" si="42"/>
        <v>0</v>
      </c>
      <c r="V155" s="200">
        <v>0</v>
      </c>
      <c r="W155" s="200">
        <v>0</v>
      </c>
      <c r="X155" s="200">
        <v>0</v>
      </c>
      <c r="Y155" s="200">
        <v>0</v>
      </c>
      <c r="Z155" s="200">
        <v>0</v>
      </c>
      <c r="AA155" s="200">
        <v>0</v>
      </c>
      <c r="AB155" s="200">
        <v>0</v>
      </c>
      <c r="AC155" s="203">
        <f t="shared" si="43"/>
        <v>0</v>
      </c>
      <c r="AD155" s="200">
        <v>0</v>
      </c>
      <c r="AE155" s="200">
        <v>0</v>
      </c>
      <c r="AF155" s="200">
        <v>0</v>
      </c>
      <c r="AG155" s="200">
        <v>0</v>
      </c>
      <c r="AH155" s="203">
        <f t="shared" si="44"/>
        <v>0</v>
      </c>
      <c r="AI155" s="200">
        <v>0</v>
      </c>
      <c r="AJ155" s="200">
        <v>0</v>
      </c>
      <c r="AK155" s="200">
        <v>0</v>
      </c>
      <c r="AL155" s="200">
        <v>0</v>
      </c>
      <c r="AM155" s="200">
        <v>0</v>
      </c>
      <c r="AN155" s="200">
        <v>0</v>
      </c>
      <c r="AO155" s="200">
        <v>0</v>
      </c>
      <c r="AP155" s="200">
        <v>0</v>
      </c>
      <c r="AQ155" s="200">
        <v>0</v>
      </c>
      <c r="AR155" s="203">
        <f t="shared" si="45"/>
        <v>0</v>
      </c>
      <c r="AS155" s="203">
        <f t="shared" si="46"/>
        <v>0</v>
      </c>
      <c r="AT155" s="200">
        <v>0</v>
      </c>
      <c r="AU155" s="200">
        <v>0</v>
      </c>
      <c r="AV155" s="200">
        <v>0</v>
      </c>
      <c r="AW155" s="200">
        <v>0</v>
      </c>
      <c r="AX155" s="200">
        <v>0</v>
      </c>
      <c r="AY155" s="200">
        <v>0</v>
      </c>
      <c r="AZ155" s="203">
        <f t="shared" si="47"/>
        <v>0</v>
      </c>
      <c r="BA155" s="200">
        <v>0</v>
      </c>
      <c r="BB155" s="200">
        <v>0</v>
      </c>
      <c r="BC155" s="200">
        <v>0</v>
      </c>
      <c r="BD155" s="200">
        <v>0</v>
      </c>
      <c r="BE155" s="200">
        <v>0</v>
      </c>
      <c r="BF155" s="200">
        <v>0</v>
      </c>
      <c r="BG155" s="200">
        <v>0</v>
      </c>
      <c r="BH155" s="200">
        <v>0</v>
      </c>
      <c r="BI155" s="200">
        <v>0</v>
      </c>
      <c r="BJ155" s="203">
        <f t="shared" si="48"/>
        <v>0</v>
      </c>
      <c r="BK155" s="203">
        <f t="shared" si="49"/>
        <v>0</v>
      </c>
      <c r="BL155" s="203">
        <f>$BO$9+SUMPRODUCT($D$10:D155,$BK$10:BK155)</f>
        <v>8046522.2985823154</v>
      </c>
      <c r="BM155" s="202">
        <f t="shared" si="50"/>
        <v>5.85</v>
      </c>
      <c r="BN155" s="203">
        <f t="shared" si="53"/>
        <v>1778697571.38925</v>
      </c>
      <c r="BO155" s="204">
        <f t="shared" si="51"/>
        <v>32183784261.803902</v>
      </c>
      <c r="BP155" s="201">
        <f t="shared" si="54"/>
        <v>0</v>
      </c>
      <c r="BQ155" s="201">
        <f t="shared" si="55"/>
        <v>0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>
      <c r="A156" s="165">
        <f t="shared" si="57"/>
        <v>147</v>
      </c>
      <c r="B156" s="166">
        <f t="shared" si="57"/>
        <v>2166</v>
      </c>
      <c r="C156" s="29">
        <v>5.85</v>
      </c>
      <c r="D156" s="164">
        <f t="shared" si="56"/>
        <v>2.4000000000000001E-4</v>
      </c>
      <c r="E156" s="200">
        <v>0</v>
      </c>
      <c r="F156" s="203">
        <f t="shared" si="38"/>
        <v>0</v>
      </c>
      <c r="G156" s="200">
        <v>0</v>
      </c>
      <c r="H156" s="200">
        <v>0</v>
      </c>
      <c r="I156" s="200">
        <v>0</v>
      </c>
      <c r="J156" s="200">
        <v>0</v>
      </c>
      <c r="K156" s="200">
        <v>0</v>
      </c>
      <c r="L156" s="200">
        <v>0</v>
      </c>
      <c r="M156" s="203">
        <f t="shared" si="41"/>
        <v>0</v>
      </c>
      <c r="N156" s="200">
        <v>0</v>
      </c>
      <c r="O156" s="200">
        <v>0</v>
      </c>
      <c r="P156" s="200">
        <v>0</v>
      </c>
      <c r="Q156" s="200">
        <v>0</v>
      </c>
      <c r="R156" s="200">
        <v>0</v>
      </c>
      <c r="S156" s="200">
        <v>0</v>
      </c>
      <c r="T156" s="200">
        <v>0</v>
      </c>
      <c r="U156" s="203">
        <f t="shared" si="42"/>
        <v>0</v>
      </c>
      <c r="V156" s="200">
        <v>0</v>
      </c>
      <c r="W156" s="200">
        <v>0</v>
      </c>
      <c r="X156" s="200">
        <v>0</v>
      </c>
      <c r="Y156" s="200">
        <v>0</v>
      </c>
      <c r="Z156" s="200">
        <v>0</v>
      </c>
      <c r="AA156" s="200">
        <v>0</v>
      </c>
      <c r="AB156" s="200">
        <v>0</v>
      </c>
      <c r="AC156" s="203">
        <f t="shared" si="43"/>
        <v>0</v>
      </c>
      <c r="AD156" s="200">
        <v>0</v>
      </c>
      <c r="AE156" s="200">
        <v>0</v>
      </c>
      <c r="AF156" s="200">
        <v>0</v>
      </c>
      <c r="AG156" s="200">
        <v>0</v>
      </c>
      <c r="AH156" s="203">
        <f t="shared" si="44"/>
        <v>0</v>
      </c>
      <c r="AI156" s="200">
        <v>0</v>
      </c>
      <c r="AJ156" s="200">
        <v>0</v>
      </c>
      <c r="AK156" s="200">
        <v>0</v>
      </c>
      <c r="AL156" s="200">
        <v>0</v>
      </c>
      <c r="AM156" s="200">
        <v>0</v>
      </c>
      <c r="AN156" s="200">
        <v>0</v>
      </c>
      <c r="AO156" s="200">
        <v>0</v>
      </c>
      <c r="AP156" s="200">
        <v>0</v>
      </c>
      <c r="AQ156" s="200">
        <v>0</v>
      </c>
      <c r="AR156" s="203">
        <f t="shared" si="45"/>
        <v>0</v>
      </c>
      <c r="AS156" s="203">
        <f t="shared" si="46"/>
        <v>0</v>
      </c>
      <c r="AT156" s="200">
        <v>0</v>
      </c>
      <c r="AU156" s="200">
        <v>0</v>
      </c>
      <c r="AV156" s="200">
        <v>0</v>
      </c>
      <c r="AW156" s="200">
        <v>0</v>
      </c>
      <c r="AX156" s="200">
        <v>0</v>
      </c>
      <c r="AY156" s="200">
        <v>0</v>
      </c>
      <c r="AZ156" s="203">
        <f t="shared" si="47"/>
        <v>0</v>
      </c>
      <c r="BA156" s="200">
        <v>0</v>
      </c>
      <c r="BB156" s="200">
        <v>0</v>
      </c>
      <c r="BC156" s="200">
        <v>0</v>
      </c>
      <c r="BD156" s="200">
        <v>0</v>
      </c>
      <c r="BE156" s="200">
        <v>0</v>
      </c>
      <c r="BF156" s="200">
        <v>0</v>
      </c>
      <c r="BG156" s="200">
        <v>0</v>
      </c>
      <c r="BH156" s="200">
        <v>0</v>
      </c>
      <c r="BI156" s="200">
        <v>0</v>
      </c>
      <c r="BJ156" s="203">
        <f t="shared" si="48"/>
        <v>0</v>
      </c>
      <c r="BK156" s="203">
        <f t="shared" si="49"/>
        <v>0</v>
      </c>
      <c r="BL156" s="203">
        <f>$BO$9+SUMPRODUCT($D$10:D156,$BK$10:BK156)</f>
        <v>8046522.2985823154</v>
      </c>
      <c r="BM156" s="202">
        <f t="shared" si="50"/>
        <v>5.85</v>
      </c>
      <c r="BN156" s="203">
        <f t="shared" si="53"/>
        <v>1882751379.3155301</v>
      </c>
      <c r="BO156" s="204">
        <f t="shared" si="51"/>
        <v>34066535641.1194</v>
      </c>
      <c r="BP156" s="201">
        <f t="shared" si="54"/>
        <v>0</v>
      </c>
      <c r="BQ156" s="201">
        <f t="shared" si="55"/>
        <v>0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>
      <c r="A157" s="165">
        <f t="shared" si="57"/>
        <v>148</v>
      </c>
      <c r="B157" s="166">
        <f t="shared" si="57"/>
        <v>2167</v>
      </c>
      <c r="C157" s="29">
        <v>5.85</v>
      </c>
      <c r="D157" s="164">
        <f t="shared" si="56"/>
        <v>2.3000000000000001E-4</v>
      </c>
      <c r="E157" s="200">
        <v>0</v>
      </c>
      <c r="F157" s="203">
        <f t="shared" si="38"/>
        <v>0</v>
      </c>
      <c r="G157" s="200">
        <v>0</v>
      </c>
      <c r="H157" s="200">
        <v>0</v>
      </c>
      <c r="I157" s="200">
        <v>0</v>
      </c>
      <c r="J157" s="200">
        <v>0</v>
      </c>
      <c r="K157" s="200">
        <v>0</v>
      </c>
      <c r="L157" s="200">
        <v>0</v>
      </c>
      <c r="M157" s="203">
        <f t="shared" si="41"/>
        <v>0</v>
      </c>
      <c r="N157" s="200">
        <v>0</v>
      </c>
      <c r="O157" s="200">
        <v>0</v>
      </c>
      <c r="P157" s="200">
        <v>0</v>
      </c>
      <c r="Q157" s="200">
        <v>0</v>
      </c>
      <c r="R157" s="200">
        <v>0</v>
      </c>
      <c r="S157" s="200">
        <v>0</v>
      </c>
      <c r="T157" s="200">
        <v>0</v>
      </c>
      <c r="U157" s="203">
        <f t="shared" si="42"/>
        <v>0</v>
      </c>
      <c r="V157" s="200">
        <v>0</v>
      </c>
      <c r="W157" s="200">
        <v>0</v>
      </c>
      <c r="X157" s="200">
        <v>0</v>
      </c>
      <c r="Y157" s="200">
        <v>0</v>
      </c>
      <c r="Z157" s="200">
        <v>0</v>
      </c>
      <c r="AA157" s="200">
        <v>0</v>
      </c>
      <c r="AB157" s="200">
        <v>0</v>
      </c>
      <c r="AC157" s="203">
        <f t="shared" si="43"/>
        <v>0</v>
      </c>
      <c r="AD157" s="200">
        <v>0</v>
      </c>
      <c r="AE157" s="200">
        <v>0</v>
      </c>
      <c r="AF157" s="200">
        <v>0</v>
      </c>
      <c r="AG157" s="200">
        <v>0</v>
      </c>
      <c r="AH157" s="203">
        <f t="shared" si="44"/>
        <v>0</v>
      </c>
      <c r="AI157" s="200">
        <v>0</v>
      </c>
      <c r="AJ157" s="200">
        <v>0</v>
      </c>
      <c r="AK157" s="200">
        <v>0</v>
      </c>
      <c r="AL157" s="200">
        <v>0</v>
      </c>
      <c r="AM157" s="200">
        <v>0</v>
      </c>
      <c r="AN157" s="200">
        <v>0</v>
      </c>
      <c r="AO157" s="200">
        <v>0</v>
      </c>
      <c r="AP157" s="200">
        <v>0</v>
      </c>
      <c r="AQ157" s="200">
        <v>0</v>
      </c>
      <c r="AR157" s="203">
        <f t="shared" si="45"/>
        <v>0</v>
      </c>
      <c r="AS157" s="203">
        <f t="shared" si="46"/>
        <v>0</v>
      </c>
      <c r="AT157" s="200">
        <v>0</v>
      </c>
      <c r="AU157" s="200">
        <v>0</v>
      </c>
      <c r="AV157" s="200">
        <v>0</v>
      </c>
      <c r="AW157" s="200">
        <v>0</v>
      </c>
      <c r="AX157" s="200">
        <v>0</v>
      </c>
      <c r="AY157" s="200">
        <v>0</v>
      </c>
      <c r="AZ157" s="203">
        <f t="shared" si="47"/>
        <v>0</v>
      </c>
      <c r="BA157" s="200">
        <v>0</v>
      </c>
      <c r="BB157" s="200">
        <v>0</v>
      </c>
      <c r="BC157" s="200">
        <v>0</v>
      </c>
      <c r="BD157" s="200">
        <v>0</v>
      </c>
      <c r="BE157" s="200">
        <v>0</v>
      </c>
      <c r="BF157" s="200">
        <v>0</v>
      </c>
      <c r="BG157" s="200">
        <v>0</v>
      </c>
      <c r="BH157" s="200">
        <v>0</v>
      </c>
      <c r="BI157" s="200">
        <v>0</v>
      </c>
      <c r="BJ157" s="203">
        <f t="shared" si="48"/>
        <v>0</v>
      </c>
      <c r="BK157" s="203">
        <f t="shared" si="49"/>
        <v>0</v>
      </c>
      <c r="BL157" s="203">
        <f>$BO$9+SUMPRODUCT($D$10:D157,$BK$10:BK157)</f>
        <v>8046522.2985823154</v>
      </c>
      <c r="BM157" s="202">
        <f t="shared" si="50"/>
        <v>5.85</v>
      </c>
      <c r="BN157" s="203">
        <f t="shared" si="53"/>
        <v>1992892335.0054801</v>
      </c>
      <c r="BO157" s="204">
        <f t="shared" si="51"/>
        <v>36059427976.124901</v>
      </c>
      <c r="BP157" s="201">
        <f t="shared" si="54"/>
        <v>0</v>
      </c>
      <c r="BQ157" s="201">
        <f t="shared" si="55"/>
        <v>0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>
      <c r="A158" s="165">
        <f t="shared" si="57"/>
        <v>149</v>
      </c>
      <c r="B158" s="166">
        <f t="shared" si="57"/>
        <v>2168</v>
      </c>
      <c r="C158" s="29">
        <v>5.85</v>
      </c>
      <c r="D158" s="164">
        <f t="shared" si="56"/>
        <v>2.2000000000000001E-4</v>
      </c>
      <c r="E158" s="200">
        <v>0</v>
      </c>
      <c r="F158" s="203">
        <f t="shared" si="38"/>
        <v>0</v>
      </c>
      <c r="G158" s="200">
        <v>0</v>
      </c>
      <c r="H158" s="200">
        <v>0</v>
      </c>
      <c r="I158" s="200">
        <v>0</v>
      </c>
      <c r="J158" s="200">
        <v>0</v>
      </c>
      <c r="K158" s="200">
        <v>0</v>
      </c>
      <c r="L158" s="200">
        <v>0</v>
      </c>
      <c r="M158" s="203">
        <f t="shared" si="41"/>
        <v>0</v>
      </c>
      <c r="N158" s="200">
        <v>0</v>
      </c>
      <c r="O158" s="200">
        <v>0</v>
      </c>
      <c r="P158" s="200">
        <v>0</v>
      </c>
      <c r="Q158" s="200">
        <v>0</v>
      </c>
      <c r="R158" s="200">
        <v>0</v>
      </c>
      <c r="S158" s="200">
        <v>0</v>
      </c>
      <c r="T158" s="200">
        <v>0</v>
      </c>
      <c r="U158" s="203">
        <f t="shared" si="42"/>
        <v>0</v>
      </c>
      <c r="V158" s="200">
        <v>0</v>
      </c>
      <c r="W158" s="200">
        <v>0</v>
      </c>
      <c r="X158" s="200">
        <v>0</v>
      </c>
      <c r="Y158" s="200">
        <v>0</v>
      </c>
      <c r="Z158" s="200">
        <v>0</v>
      </c>
      <c r="AA158" s="200">
        <v>0</v>
      </c>
      <c r="AB158" s="200">
        <v>0</v>
      </c>
      <c r="AC158" s="203">
        <f t="shared" si="43"/>
        <v>0</v>
      </c>
      <c r="AD158" s="200">
        <v>0</v>
      </c>
      <c r="AE158" s="200">
        <v>0</v>
      </c>
      <c r="AF158" s="200">
        <v>0</v>
      </c>
      <c r="AG158" s="200">
        <v>0</v>
      </c>
      <c r="AH158" s="203">
        <f t="shared" si="44"/>
        <v>0</v>
      </c>
      <c r="AI158" s="200">
        <v>0</v>
      </c>
      <c r="AJ158" s="200">
        <v>0</v>
      </c>
      <c r="AK158" s="200">
        <v>0</v>
      </c>
      <c r="AL158" s="200">
        <v>0</v>
      </c>
      <c r="AM158" s="200">
        <v>0</v>
      </c>
      <c r="AN158" s="200">
        <v>0</v>
      </c>
      <c r="AO158" s="200">
        <v>0</v>
      </c>
      <c r="AP158" s="200">
        <v>0</v>
      </c>
      <c r="AQ158" s="200">
        <v>0</v>
      </c>
      <c r="AR158" s="203">
        <f t="shared" si="45"/>
        <v>0</v>
      </c>
      <c r="AS158" s="203">
        <f t="shared" si="46"/>
        <v>0</v>
      </c>
      <c r="AT158" s="200">
        <v>0</v>
      </c>
      <c r="AU158" s="200">
        <v>0</v>
      </c>
      <c r="AV158" s="200">
        <v>0</v>
      </c>
      <c r="AW158" s="200">
        <v>0</v>
      </c>
      <c r="AX158" s="200">
        <v>0</v>
      </c>
      <c r="AY158" s="200">
        <v>0</v>
      </c>
      <c r="AZ158" s="203">
        <f t="shared" si="47"/>
        <v>0</v>
      </c>
      <c r="BA158" s="200">
        <v>0</v>
      </c>
      <c r="BB158" s="200">
        <v>0</v>
      </c>
      <c r="BC158" s="200">
        <v>0</v>
      </c>
      <c r="BD158" s="200">
        <v>0</v>
      </c>
      <c r="BE158" s="200">
        <v>0</v>
      </c>
      <c r="BF158" s="200">
        <v>0</v>
      </c>
      <c r="BG158" s="200">
        <v>0</v>
      </c>
      <c r="BH158" s="200">
        <v>0</v>
      </c>
      <c r="BI158" s="200">
        <v>0</v>
      </c>
      <c r="BJ158" s="203">
        <f t="shared" si="48"/>
        <v>0</v>
      </c>
      <c r="BK158" s="203">
        <f t="shared" si="49"/>
        <v>0</v>
      </c>
      <c r="BL158" s="203">
        <f>$BO$9+SUMPRODUCT($D$10:D158,$BK$10:BK158)</f>
        <v>8046522.2985823154</v>
      </c>
      <c r="BM158" s="202">
        <f t="shared" si="50"/>
        <v>5.85</v>
      </c>
      <c r="BN158" s="203">
        <f t="shared" si="53"/>
        <v>2109476536.6033101</v>
      </c>
      <c r="BO158" s="204">
        <f t="shared" si="51"/>
        <v>38168904512.728203</v>
      </c>
      <c r="BP158" s="201">
        <f t="shared" si="54"/>
        <v>0</v>
      </c>
      <c r="BQ158" s="201">
        <f t="shared" si="55"/>
        <v>0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 ht="16.5" thickBot="1">
      <c r="A159" s="167">
        <f t="shared" si="57"/>
        <v>150</v>
      </c>
      <c r="B159" s="168">
        <f t="shared" si="57"/>
        <v>2169</v>
      </c>
      <c r="C159" s="29">
        <v>5.85</v>
      </c>
      <c r="D159" s="164">
        <f t="shared" ref="D159" si="58">(1+C159/100)^-1*D158</f>
        <v>2.0784128483703355E-4</v>
      </c>
      <c r="E159" s="200">
        <v>0</v>
      </c>
      <c r="F159" s="203">
        <f t="shared" si="38"/>
        <v>0</v>
      </c>
      <c r="G159" s="200">
        <v>0</v>
      </c>
      <c r="H159" s="200">
        <v>0</v>
      </c>
      <c r="I159" s="200">
        <v>0</v>
      </c>
      <c r="J159" s="200">
        <v>0</v>
      </c>
      <c r="K159" s="200">
        <v>0</v>
      </c>
      <c r="L159" s="200">
        <v>0</v>
      </c>
      <c r="M159" s="203">
        <f t="shared" si="41"/>
        <v>0</v>
      </c>
      <c r="N159" s="200">
        <v>0</v>
      </c>
      <c r="O159" s="200">
        <v>0</v>
      </c>
      <c r="P159" s="200">
        <v>0</v>
      </c>
      <c r="Q159" s="200">
        <v>0</v>
      </c>
      <c r="R159" s="200">
        <v>0</v>
      </c>
      <c r="S159" s="200">
        <v>0</v>
      </c>
      <c r="T159" s="200">
        <v>0</v>
      </c>
      <c r="U159" s="203">
        <f t="shared" si="42"/>
        <v>0</v>
      </c>
      <c r="V159" s="200">
        <v>0</v>
      </c>
      <c r="W159" s="200">
        <v>0</v>
      </c>
      <c r="X159" s="200">
        <v>0</v>
      </c>
      <c r="Y159" s="200">
        <v>0</v>
      </c>
      <c r="Z159" s="200">
        <v>0</v>
      </c>
      <c r="AA159" s="200">
        <v>0</v>
      </c>
      <c r="AB159" s="200">
        <v>0</v>
      </c>
      <c r="AC159" s="203">
        <f t="shared" si="43"/>
        <v>0</v>
      </c>
      <c r="AD159" s="200">
        <v>0</v>
      </c>
      <c r="AE159" s="200">
        <v>0</v>
      </c>
      <c r="AF159" s="200">
        <v>0</v>
      </c>
      <c r="AG159" s="200">
        <v>0</v>
      </c>
      <c r="AH159" s="203">
        <f t="shared" si="44"/>
        <v>0</v>
      </c>
      <c r="AI159" s="200">
        <v>0</v>
      </c>
      <c r="AJ159" s="200">
        <v>0</v>
      </c>
      <c r="AK159" s="200">
        <v>0</v>
      </c>
      <c r="AL159" s="200">
        <v>0</v>
      </c>
      <c r="AM159" s="200">
        <v>0</v>
      </c>
      <c r="AN159" s="200">
        <v>0</v>
      </c>
      <c r="AO159" s="200">
        <v>0</v>
      </c>
      <c r="AP159" s="200">
        <v>0</v>
      </c>
      <c r="AQ159" s="200">
        <v>0</v>
      </c>
      <c r="AR159" s="203">
        <f t="shared" si="45"/>
        <v>0</v>
      </c>
      <c r="AS159" s="203">
        <f t="shared" si="46"/>
        <v>0</v>
      </c>
      <c r="AT159" s="200">
        <v>0</v>
      </c>
      <c r="AU159" s="200">
        <v>0</v>
      </c>
      <c r="AV159" s="200">
        <v>0</v>
      </c>
      <c r="AW159" s="200">
        <v>0</v>
      </c>
      <c r="AX159" s="200">
        <v>0</v>
      </c>
      <c r="AY159" s="200">
        <v>0</v>
      </c>
      <c r="AZ159" s="203">
        <f t="shared" si="47"/>
        <v>0</v>
      </c>
      <c r="BA159" s="200">
        <v>0</v>
      </c>
      <c r="BB159" s="200">
        <v>0</v>
      </c>
      <c r="BC159" s="200">
        <v>0</v>
      </c>
      <c r="BD159" s="200">
        <v>0</v>
      </c>
      <c r="BE159" s="200">
        <v>0</v>
      </c>
      <c r="BF159" s="200">
        <v>0</v>
      </c>
      <c r="BG159" s="200">
        <v>0</v>
      </c>
      <c r="BH159" s="200">
        <v>0</v>
      </c>
      <c r="BI159" s="200">
        <v>0</v>
      </c>
      <c r="BJ159" s="203">
        <f t="shared" si="48"/>
        <v>0</v>
      </c>
      <c r="BK159" s="203">
        <f t="shared" si="49"/>
        <v>0</v>
      </c>
      <c r="BL159" s="203">
        <f>$BO$9+SUMPRODUCT($D$10:D159,$BK$10:BK159)</f>
        <v>8046522.2985823154</v>
      </c>
      <c r="BM159" s="202">
        <f t="shared" si="50"/>
        <v>5.85</v>
      </c>
      <c r="BN159" s="203">
        <f t="shared" si="53"/>
        <v>2232880913.9945998</v>
      </c>
      <c r="BO159" s="204">
        <f t="shared" si="51"/>
        <v>40401785426.722801</v>
      </c>
      <c r="BP159" s="201">
        <f t="shared" si="54"/>
        <v>0</v>
      </c>
      <c r="BQ159" s="201">
        <f t="shared" si="55"/>
        <v>0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 s="177" customFormat="1" ht="16.5" thickBot="1">
      <c r="A160" s="169" t="s">
        <v>76</v>
      </c>
      <c r="B160" s="170"/>
      <c r="C160" s="171"/>
      <c r="D160" s="172"/>
      <c r="E160" s="173">
        <f t="shared" ref="E160:AJ160" si="59">ROUND(SUM(E10:E159),2)</f>
        <v>22538044123.779999</v>
      </c>
      <c r="F160" s="173">
        <f t="shared" si="59"/>
        <v>680874020.19000006</v>
      </c>
      <c r="G160" s="173">
        <f t="shared" si="59"/>
        <v>680874020.19000006</v>
      </c>
      <c r="H160" s="173">
        <f t="shared" si="59"/>
        <v>0</v>
      </c>
      <c r="I160" s="173">
        <f t="shared" si="59"/>
        <v>0</v>
      </c>
      <c r="J160" s="173">
        <f t="shared" si="59"/>
        <v>0</v>
      </c>
      <c r="K160" s="173">
        <f t="shared" si="59"/>
        <v>95837005.879999995</v>
      </c>
      <c r="L160" s="173">
        <f t="shared" si="59"/>
        <v>806635762.95000005</v>
      </c>
      <c r="M160" s="173">
        <f t="shared" si="59"/>
        <v>6187467744.1199999</v>
      </c>
      <c r="N160" s="173">
        <f t="shared" si="59"/>
        <v>6187467744.1199999</v>
      </c>
      <c r="O160" s="173">
        <f t="shared" si="59"/>
        <v>0</v>
      </c>
      <c r="P160" s="173">
        <f t="shared" si="59"/>
        <v>0</v>
      </c>
      <c r="Q160" s="173">
        <f t="shared" si="59"/>
        <v>0</v>
      </c>
      <c r="R160" s="173">
        <f t="shared" si="59"/>
        <v>0</v>
      </c>
      <c r="S160" s="173">
        <f t="shared" si="59"/>
        <v>0</v>
      </c>
      <c r="T160" s="173">
        <f t="shared" si="59"/>
        <v>0</v>
      </c>
      <c r="U160" s="173">
        <f t="shared" si="59"/>
        <v>3135761742.7600002</v>
      </c>
      <c r="V160" s="173">
        <f t="shared" si="59"/>
        <v>3135761742.7600002</v>
      </c>
      <c r="W160" s="173">
        <f t="shared" si="59"/>
        <v>0</v>
      </c>
      <c r="X160" s="173">
        <f t="shared" si="59"/>
        <v>0</v>
      </c>
      <c r="Y160" s="173">
        <f t="shared" si="59"/>
        <v>0</v>
      </c>
      <c r="Z160" s="173">
        <f t="shared" si="59"/>
        <v>0</v>
      </c>
      <c r="AA160" s="173">
        <f t="shared" si="59"/>
        <v>0</v>
      </c>
      <c r="AB160" s="173">
        <f t="shared" si="59"/>
        <v>0</v>
      </c>
      <c r="AC160" s="173">
        <f t="shared" si="59"/>
        <v>745218512.67999995</v>
      </c>
      <c r="AD160" s="173">
        <f t="shared" si="59"/>
        <v>620151056.49000001</v>
      </c>
      <c r="AE160" s="173">
        <f t="shared" si="59"/>
        <v>106891353.44</v>
      </c>
      <c r="AF160" s="173">
        <f t="shared" si="59"/>
        <v>0</v>
      </c>
      <c r="AG160" s="173">
        <f t="shared" si="59"/>
        <v>18176102.75</v>
      </c>
      <c r="AH160" s="173">
        <f t="shared" si="59"/>
        <v>63407320.049999997</v>
      </c>
      <c r="AI160" s="173">
        <f t="shared" si="59"/>
        <v>49353803</v>
      </c>
      <c r="AJ160" s="173">
        <f t="shared" si="59"/>
        <v>0</v>
      </c>
      <c r="AK160" s="173">
        <f t="shared" ref="AK160:BK160" si="60">ROUND(SUM(AK10:AK159),2)</f>
        <v>0</v>
      </c>
      <c r="AL160" s="173">
        <f t="shared" si="60"/>
        <v>1618807.49</v>
      </c>
      <c r="AM160" s="173">
        <f t="shared" si="60"/>
        <v>12434709.550000001</v>
      </c>
      <c r="AN160" s="173">
        <f t="shared" si="60"/>
        <v>3493552577.5599999</v>
      </c>
      <c r="AO160" s="173">
        <f t="shared" si="60"/>
        <v>34118562691.799999</v>
      </c>
      <c r="AP160" s="173">
        <f t="shared" si="60"/>
        <v>755288084.35000002</v>
      </c>
      <c r="AQ160" s="173">
        <f t="shared" si="60"/>
        <v>0</v>
      </c>
      <c r="AR160" s="173">
        <f t="shared" si="60"/>
        <v>50082605462.330002</v>
      </c>
      <c r="AS160" s="173">
        <f t="shared" si="60"/>
        <v>25013850835.09</v>
      </c>
      <c r="AT160" s="173">
        <f t="shared" si="60"/>
        <v>23129786353.490002</v>
      </c>
      <c r="AU160" s="173">
        <f t="shared" si="60"/>
        <v>0</v>
      </c>
      <c r="AV160" s="173">
        <f t="shared" si="60"/>
        <v>0</v>
      </c>
      <c r="AW160" s="173">
        <f t="shared" si="60"/>
        <v>0</v>
      </c>
      <c r="AX160" s="173">
        <f t="shared" si="60"/>
        <v>1884064481.5999999</v>
      </c>
      <c r="AY160" s="173">
        <f t="shared" si="60"/>
        <v>0</v>
      </c>
      <c r="AZ160" s="173">
        <f t="shared" si="60"/>
        <v>34972410810.57</v>
      </c>
      <c r="BA160" s="173">
        <f t="shared" si="60"/>
        <v>20302222636.060001</v>
      </c>
      <c r="BB160" s="173">
        <f t="shared" si="60"/>
        <v>9915199714.9400005</v>
      </c>
      <c r="BC160" s="173">
        <f t="shared" si="60"/>
        <v>0</v>
      </c>
      <c r="BD160" s="173">
        <f t="shared" si="60"/>
        <v>1146328912.5599999</v>
      </c>
      <c r="BE160" s="173">
        <f t="shared" si="60"/>
        <v>807404779.11000001</v>
      </c>
      <c r="BF160" s="173">
        <f t="shared" si="60"/>
        <v>2764369732.9699998</v>
      </c>
      <c r="BG160" s="173">
        <f t="shared" si="60"/>
        <v>36885034.939999998</v>
      </c>
      <c r="BH160" s="173">
        <f t="shared" si="60"/>
        <v>0</v>
      </c>
      <c r="BI160" s="173">
        <f t="shared" si="60"/>
        <v>0</v>
      </c>
      <c r="BJ160" s="173">
        <f t="shared" si="60"/>
        <v>59986261645.669998</v>
      </c>
      <c r="BK160" s="173">
        <f t="shared" si="60"/>
        <v>-9903656183.3400002</v>
      </c>
      <c r="BL160" s="174" t="str">
        <f>IF(AND(A1="FLUXO ATUARIAL   -   CIVIL   -   PLANO PREVIDENCIÁRIO   -   BENEFÍCIOS AVALIADOS EM REGIME FINANCEIRO DE CAPITALIZAÇÃO   -   GERAÇÃO ATUAL",BL161&gt;0),"SUPERÁVIT ATUARIAL",IF(AND(A1="FLUXO ATUARIAL   -   CIVIL   -   PLANO PREVIDENCIÁRIO   -   BENEFÍCIOS AVALIADOS EM REGIME FINANCEIRO DE CAPITALIZAÇÃO   -   GERAÇÃO ATUAL",BL161=0),"EQUILÍBRIO ATUARIAL","DÉFICIT ATUARIAL"))</f>
        <v>SUPERÁVIT ATUARIAL</v>
      </c>
      <c r="BM160" s="175"/>
      <c r="BN160" s="171"/>
      <c r="BO160" s="176"/>
      <c r="BP160" s="40">
        <f>SUM(BP10:BP159)</f>
        <v>23417757462.112556</v>
      </c>
      <c r="BQ160" s="40">
        <f>SUM(BQ10:BQ159)</f>
        <v>298424538984.10083</v>
      </c>
    </row>
    <row r="161" spans="1:69" ht="16.5" thickBot="1">
      <c r="A161" s="178" t="s">
        <v>77</v>
      </c>
      <c r="B161" s="179"/>
      <c r="C161" s="180"/>
      <c r="D161" s="181"/>
      <c r="E161" s="182">
        <f>ROUND(SUMPRODUCT($D$10:$D$159,E10:E159),2)</f>
        <v>14054443804.459999</v>
      </c>
      <c r="F161" s="182">
        <f>ROUND(SUM(G161:J161),2)</f>
        <v>365271512.98000002</v>
      </c>
      <c r="G161" s="182">
        <f t="shared" ref="G161:L161" si="61">ROUND(SUMPRODUCT($D$10:$D$159,G10:G159),2)</f>
        <v>365271512.98000002</v>
      </c>
      <c r="H161" s="182">
        <f t="shared" si="61"/>
        <v>0</v>
      </c>
      <c r="I161" s="182">
        <f t="shared" si="61"/>
        <v>0</v>
      </c>
      <c r="J161" s="182">
        <f t="shared" si="61"/>
        <v>0</v>
      </c>
      <c r="K161" s="182">
        <f t="shared" si="61"/>
        <v>46800798.909999996</v>
      </c>
      <c r="L161" s="182">
        <f t="shared" si="61"/>
        <v>500869687.22000003</v>
      </c>
      <c r="M161" s="182">
        <f>ROUND(SUM(N161:T161),2)</f>
        <v>3832362603.8099999</v>
      </c>
      <c r="N161" s="182">
        <f t="shared" ref="N161:T161" si="62">ROUND(SUMPRODUCT($D$10:$D$159,N10:N159),2)</f>
        <v>3832362603.8099999</v>
      </c>
      <c r="O161" s="182">
        <f t="shared" si="62"/>
        <v>0</v>
      </c>
      <c r="P161" s="182">
        <f t="shared" si="62"/>
        <v>0</v>
      </c>
      <c r="Q161" s="182">
        <f t="shared" si="62"/>
        <v>0</v>
      </c>
      <c r="R161" s="182">
        <f t="shared" si="62"/>
        <v>0</v>
      </c>
      <c r="S161" s="182">
        <f t="shared" si="62"/>
        <v>0</v>
      </c>
      <c r="T161" s="182">
        <f t="shared" si="62"/>
        <v>0</v>
      </c>
      <c r="U161" s="182">
        <f>ROUND(SUM(V161:AB161),2)</f>
        <v>1949139024.3599999</v>
      </c>
      <c r="V161" s="182">
        <f t="shared" ref="V161:AB161" si="63">ROUND(SUMPRODUCT($D$10:$D$159,V10:V159),2)</f>
        <v>1949139024.3599999</v>
      </c>
      <c r="W161" s="182">
        <f t="shared" si="63"/>
        <v>0</v>
      </c>
      <c r="X161" s="182">
        <f t="shared" si="63"/>
        <v>0</v>
      </c>
      <c r="Y161" s="182">
        <f t="shared" si="63"/>
        <v>0</v>
      </c>
      <c r="Z161" s="182">
        <f t="shared" si="63"/>
        <v>0</v>
      </c>
      <c r="AA161" s="182">
        <f t="shared" si="63"/>
        <v>0</v>
      </c>
      <c r="AB161" s="182">
        <f t="shared" si="63"/>
        <v>0</v>
      </c>
      <c r="AC161" s="182">
        <f>ROUND(SUM(AD161:AG161),2)</f>
        <v>272189287.19999999</v>
      </c>
      <c r="AD161" s="182">
        <f>ROUND(SUMPRODUCT($D$10:$D$159,AD10:AD159),2)</f>
        <v>229209512.09</v>
      </c>
      <c r="AE161" s="182">
        <f>ROUND(SUMPRODUCT($D$10:$D$159,AE10:AE159),2)</f>
        <v>36394413.780000001</v>
      </c>
      <c r="AF161" s="182">
        <f>ROUND(SUMPRODUCT($D$10:$D$159,AF10:AF159),2)</f>
        <v>0</v>
      </c>
      <c r="AG161" s="182">
        <f>ROUND(SUMPRODUCT($D$10:$D$159,AG10:AG159),2)</f>
        <v>6585361.3300000001</v>
      </c>
      <c r="AH161" s="182">
        <f>ROUND(SUM(AI161:AM161),2)</f>
        <v>18732513.850000001</v>
      </c>
      <c r="AI161" s="182">
        <f t="shared" ref="AI161:AQ161" si="64">ROUND(SUMPRODUCT($D$10:$D$159,AI10:AI159),2)</f>
        <v>12861654.09</v>
      </c>
      <c r="AJ161" s="182">
        <f t="shared" si="64"/>
        <v>0</v>
      </c>
      <c r="AK161" s="182">
        <f t="shared" si="64"/>
        <v>0</v>
      </c>
      <c r="AL161" s="182">
        <f t="shared" si="64"/>
        <v>403766.1</v>
      </c>
      <c r="AM161" s="182">
        <f t="shared" si="64"/>
        <v>5467093.6600000001</v>
      </c>
      <c r="AN161" s="182">
        <f t="shared" si="64"/>
        <v>1037979800.08</v>
      </c>
      <c r="AO161" s="182">
        <f t="shared" si="64"/>
        <v>12990708284.99</v>
      </c>
      <c r="AP161" s="182">
        <f t="shared" si="64"/>
        <v>469196347.63999999</v>
      </c>
      <c r="AQ161" s="182">
        <f t="shared" si="64"/>
        <v>0</v>
      </c>
      <c r="AR161" s="182">
        <f>ROUND(F161+K161+L161+M161+U161+AC161+AH161+AN161+AO161+AP161+AQ161,2)</f>
        <v>21483249861.040001</v>
      </c>
      <c r="AS161" s="182">
        <f>ROUND(SUM(AT161:AY161),2)</f>
        <v>13003085735.75</v>
      </c>
      <c r="AT161" s="182">
        <f t="shared" ref="AT161:AY161" si="65">ROUND(SUMPRODUCT($D$10:$D$159,AT10:AT159),2)</f>
        <v>11972027397.24</v>
      </c>
      <c r="AU161" s="182">
        <f t="shared" si="65"/>
        <v>0</v>
      </c>
      <c r="AV161" s="182">
        <f t="shared" si="65"/>
        <v>0</v>
      </c>
      <c r="AW161" s="182">
        <f t="shared" si="65"/>
        <v>0</v>
      </c>
      <c r="AX161" s="182">
        <f t="shared" si="65"/>
        <v>1031058338.51</v>
      </c>
      <c r="AY161" s="182">
        <f t="shared" si="65"/>
        <v>0</v>
      </c>
      <c r="AZ161" s="182">
        <f>ROUND(SUM(BA161:BI161),2)</f>
        <v>10414644399.860001</v>
      </c>
      <c r="BA161" s="182">
        <f t="shared" ref="BA161:BI161" si="66">ROUND(SUMPRODUCT($D$10:$D$159,BA10:BA159),2)</f>
        <v>6469037591.7799997</v>
      </c>
      <c r="BB161" s="182">
        <f t="shared" si="66"/>
        <v>2654979627.3899999</v>
      </c>
      <c r="BC161" s="182">
        <f t="shared" si="66"/>
        <v>0</v>
      </c>
      <c r="BD161" s="182">
        <f t="shared" si="66"/>
        <v>347911793.69</v>
      </c>
      <c r="BE161" s="182">
        <f t="shared" si="66"/>
        <v>326104875.58999997</v>
      </c>
      <c r="BF161" s="182">
        <f t="shared" si="66"/>
        <v>581764112.35000002</v>
      </c>
      <c r="BG161" s="182">
        <f t="shared" si="66"/>
        <v>34846399.060000002</v>
      </c>
      <c r="BH161" s="182">
        <f t="shared" si="66"/>
        <v>0</v>
      </c>
      <c r="BI161" s="182">
        <f t="shared" si="66"/>
        <v>0</v>
      </c>
      <c r="BJ161" s="182">
        <f>ROUND(AS161+AZ161,2)</f>
        <v>23417730135.610001</v>
      </c>
      <c r="BK161" s="182">
        <f>ROUND(AR161-BJ161,2)</f>
        <v>-1934480274.5699999</v>
      </c>
      <c r="BL161" s="30">
        <f>ROUND(BO9,2)+BK161</f>
        <v>8046522.2999999523</v>
      </c>
      <c r="BM161" s="183"/>
      <c r="BN161" s="180"/>
      <c r="BO161" s="184"/>
      <c r="BP161" s="41"/>
      <c r="BQ161" s="41"/>
    </row>
  </sheetData>
  <sheetProtection algorithmName="SHA-512" hashValue="nCGS1G0bvo+GDT29AX92Nli8ZXk/N3YZFjskzN6Cl4anVpIKXSupfAaOvoBIVyquO2GDI9qzkILXW869QUY7sA==" saltValue="n52QmTW66p+vYfNO/baxvA==" spinCount="100000" sheet="1" objects="1" scenarios="1" selectLockedCells="1"/>
  <mergeCells count="1">
    <mergeCell ref="A4:D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WVN21"/>
  <sheetViews>
    <sheetView showGridLines="0" zoomScale="120" zoomScaleNormal="120" workbookViewId="0">
      <pane xSplit="6" ySplit="20" topLeftCell="G21" activePane="bottomRight" state="frozen"/>
      <selection pane="topRight" activeCell="G1" sqref="G1"/>
      <selection pane="bottomLeft" activeCell="A21" sqref="A21"/>
      <selection pane="bottomRight" activeCell="F16" sqref="F16"/>
    </sheetView>
  </sheetViews>
  <sheetFormatPr defaultColWidth="0" defaultRowHeight="12.75" zeroHeight="1"/>
  <cols>
    <col min="1" max="1" width="60.7109375" style="90" customWidth="1"/>
    <col min="2" max="4" width="9.140625" style="90" customWidth="1"/>
    <col min="5" max="5" width="5" style="90" customWidth="1"/>
    <col min="6" max="6" width="34.5703125" style="90" customWidth="1"/>
    <col min="7" max="7" width="9.140625" style="90" customWidth="1"/>
    <col min="8" max="256" width="9.140625" style="90" hidden="1"/>
    <col min="257" max="257" width="60.7109375" style="90" hidden="1"/>
    <col min="258" max="260" width="9.140625" style="90" hidden="1"/>
    <col min="261" max="261" width="5" style="90" hidden="1"/>
    <col min="262" max="262" width="35.7109375" style="90" hidden="1"/>
    <col min="263" max="512" width="9.140625" style="90" hidden="1"/>
    <col min="513" max="513" width="60.7109375" style="90" hidden="1"/>
    <col min="514" max="516" width="9.140625" style="90" hidden="1"/>
    <col min="517" max="517" width="5" style="90" hidden="1"/>
    <col min="518" max="518" width="35.7109375" style="90" hidden="1"/>
    <col min="519" max="768" width="9.140625" style="90" hidden="1"/>
    <col min="769" max="769" width="60.7109375" style="90" hidden="1"/>
    <col min="770" max="772" width="9.140625" style="90" hidden="1"/>
    <col min="773" max="773" width="5" style="90" hidden="1"/>
    <col min="774" max="774" width="35.7109375" style="90" hidden="1"/>
    <col min="775" max="1024" width="9.140625" style="90" hidden="1"/>
    <col min="1025" max="1025" width="60.7109375" style="90" hidden="1"/>
    <col min="1026" max="1028" width="9.140625" style="90" hidden="1"/>
    <col min="1029" max="1029" width="5" style="90" hidden="1"/>
    <col min="1030" max="1030" width="35.7109375" style="90" hidden="1"/>
    <col min="1031" max="1280" width="9.140625" style="90" hidden="1"/>
    <col min="1281" max="1281" width="60.7109375" style="90" hidden="1"/>
    <col min="1282" max="1284" width="9.140625" style="90" hidden="1"/>
    <col min="1285" max="1285" width="5" style="90" hidden="1"/>
    <col min="1286" max="1286" width="35.7109375" style="90" hidden="1"/>
    <col min="1287" max="1536" width="9.140625" style="90" hidden="1"/>
    <col min="1537" max="1537" width="60.7109375" style="90" hidden="1"/>
    <col min="1538" max="1540" width="9.140625" style="90" hidden="1"/>
    <col min="1541" max="1541" width="5" style="90" hidden="1"/>
    <col min="1542" max="1542" width="35.7109375" style="90" hidden="1"/>
    <col min="1543" max="1792" width="9.140625" style="90" hidden="1"/>
    <col min="1793" max="1793" width="60.7109375" style="90" hidden="1"/>
    <col min="1794" max="1796" width="9.140625" style="90" hidden="1"/>
    <col min="1797" max="1797" width="5" style="90" hidden="1"/>
    <col min="1798" max="1798" width="35.7109375" style="90" hidden="1"/>
    <col min="1799" max="2048" width="9.140625" style="90" hidden="1"/>
    <col min="2049" max="2049" width="60.7109375" style="90" hidden="1"/>
    <col min="2050" max="2052" width="9.140625" style="90" hidden="1"/>
    <col min="2053" max="2053" width="5" style="90" hidden="1"/>
    <col min="2054" max="2054" width="35.7109375" style="90" hidden="1"/>
    <col min="2055" max="2304" width="9.140625" style="90" hidden="1"/>
    <col min="2305" max="2305" width="60.7109375" style="90" hidden="1"/>
    <col min="2306" max="2308" width="9.140625" style="90" hidden="1"/>
    <col min="2309" max="2309" width="5" style="90" hidden="1"/>
    <col min="2310" max="2310" width="35.7109375" style="90" hidden="1"/>
    <col min="2311" max="2560" width="9.140625" style="90" hidden="1"/>
    <col min="2561" max="2561" width="60.7109375" style="90" hidden="1"/>
    <col min="2562" max="2564" width="9.140625" style="90" hidden="1"/>
    <col min="2565" max="2565" width="5" style="90" hidden="1"/>
    <col min="2566" max="2566" width="35.7109375" style="90" hidden="1"/>
    <col min="2567" max="2816" width="9.140625" style="90" hidden="1"/>
    <col min="2817" max="2817" width="60.7109375" style="90" hidden="1"/>
    <col min="2818" max="2820" width="9.140625" style="90" hidden="1"/>
    <col min="2821" max="2821" width="5" style="90" hidden="1"/>
    <col min="2822" max="2822" width="35.7109375" style="90" hidden="1"/>
    <col min="2823" max="3072" width="9.140625" style="90" hidden="1"/>
    <col min="3073" max="3073" width="60.7109375" style="90" hidden="1"/>
    <col min="3074" max="3076" width="9.140625" style="90" hidden="1"/>
    <col min="3077" max="3077" width="5" style="90" hidden="1"/>
    <col min="3078" max="3078" width="35.7109375" style="90" hidden="1"/>
    <col min="3079" max="3328" width="9.140625" style="90" hidden="1"/>
    <col min="3329" max="3329" width="60.7109375" style="90" hidden="1"/>
    <col min="3330" max="3332" width="9.140625" style="90" hidden="1"/>
    <col min="3333" max="3333" width="5" style="90" hidden="1"/>
    <col min="3334" max="3334" width="35.7109375" style="90" hidden="1"/>
    <col min="3335" max="3584" width="9.140625" style="90" hidden="1"/>
    <col min="3585" max="3585" width="60.7109375" style="90" hidden="1"/>
    <col min="3586" max="3588" width="9.140625" style="90" hidden="1"/>
    <col min="3589" max="3589" width="5" style="90" hidden="1"/>
    <col min="3590" max="3590" width="35.7109375" style="90" hidden="1"/>
    <col min="3591" max="3840" width="9.140625" style="90" hidden="1"/>
    <col min="3841" max="3841" width="60.7109375" style="90" hidden="1"/>
    <col min="3842" max="3844" width="9.140625" style="90" hidden="1"/>
    <col min="3845" max="3845" width="5" style="90" hidden="1"/>
    <col min="3846" max="3846" width="35.7109375" style="90" hidden="1"/>
    <col min="3847" max="4096" width="9.140625" style="90" hidden="1"/>
    <col min="4097" max="4097" width="60.7109375" style="90" hidden="1"/>
    <col min="4098" max="4100" width="9.140625" style="90" hidden="1"/>
    <col min="4101" max="4101" width="5" style="90" hidden="1"/>
    <col min="4102" max="4102" width="35.7109375" style="90" hidden="1"/>
    <col min="4103" max="4352" width="9.140625" style="90" hidden="1"/>
    <col min="4353" max="4353" width="60.7109375" style="90" hidden="1"/>
    <col min="4354" max="4356" width="9.140625" style="90" hidden="1"/>
    <col min="4357" max="4357" width="5" style="90" hidden="1"/>
    <col min="4358" max="4358" width="35.7109375" style="90" hidden="1"/>
    <col min="4359" max="4608" width="9.140625" style="90" hidden="1"/>
    <col min="4609" max="4609" width="60.7109375" style="90" hidden="1"/>
    <col min="4610" max="4612" width="9.140625" style="90" hidden="1"/>
    <col min="4613" max="4613" width="5" style="90" hidden="1"/>
    <col min="4614" max="4614" width="35.7109375" style="90" hidden="1"/>
    <col min="4615" max="4864" width="9.140625" style="90" hidden="1"/>
    <col min="4865" max="4865" width="60.7109375" style="90" hidden="1"/>
    <col min="4866" max="4868" width="9.140625" style="90" hidden="1"/>
    <col min="4869" max="4869" width="5" style="90" hidden="1"/>
    <col min="4870" max="4870" width="35.7109375" style="90" hidden="1"/>
    <col min="4871" max="5120" width="9.140625" style="90" hidden="1"/>
    <col min="5121" max="5121" width="60.7109375" style="90" hidden="1"/>
    <col min="5122" max="5124" width="9.140625" style="90" hidden="1"/>
    <col min="5125" max="5125" width="5" style="90" hidden="1"/>
    <col min="5126" max="5126" width="35.7109375" style="90" hidden="1"/>
    <col min="5127" max="5376" width="9.140625" style="90" hidden="1"/>
    <col min="5377" max="5377" width="60.7109375" style="90" hidden="1"/>
    <col min="5378" max="5380" width="9.140625" style="90" hidden="1"/>
    <col min="5381" max="5381" width="5" style="90" hidden="1"/>
    <col min="5382" max="5382" width="35.7109375" style="90" hidden="1"/>
    <col min="5383" max="5632" width="9.140625" style="90" hidden="1"/>
    <col min="5633" max="5633" width="60.7109375" style="90" hidden="1"/>
    <col min="5634" max="5636" width="9.140625" style="90" hidden="1"/>
    <col min="5637" max="5637" width="5" style="90" hidden="1"/>
    <col min="5638" max="5638" width="35.7109375" style="90" hidden="1"/>
    <col min="5639" max="5888" width="9.140625" style="90" hidden="1"/>
    <col min="5889" max="5889" width="60.7109375" style="90" hidden="1"/>
    <col min="5890" max="5892" width="9.140625" style="90" hidden="1"/>
    <col min="5893" max="5893" width="5" style="90" hidden="1"/>
    <col min="5894" max="5894" width="35.7109375" style="90" hidden="1"/>
    <col min="5895" max="6144" width="9.140625" style="90" hidden="1"/>
    <col min="6145" max="6145" width="60.7109375" style="90" hidden="1"/>
    <col min="6146" max="6148" width="9.140625" style="90" hidden="1"/>
    <col min="6149" max="6149" width="5" style="90" hidden="1"/>
    <col min="6150" max="6150" width="35.7109375" style="90" hidden="1"/>
    <col min="6151" max="6400" width="9.140625" style="90" hidden="1"/>
    <col min="6401" max="6401" width="60.7109375" style="90" hidden="1"/>
    <col min="6402" max="6404" width="9.140625" style="90" hidden="1"/>
    <col min="6405" max="6405" width="5" style="90" hidden="1"/>
    <col min="6406" max="6406" width="35.7109375" style="90" hidden="1"/>
    <col min="6407" max="6656" width="9.140625" style="90" hidden="1"/>
    <col min="6657" max="6657" width="60.7109375" style="90" hidden="1"/>
    <col min="6658" max="6660" width="9.140625" style="90" hidden="1"/>
    <col min="6661" max="6661" width="5" style="90" hidden="1"/>
    <col min="6662" max="6662" width="35.7109375" style="90" hidden="1"/>
    <col min="6663" max="6912" width="9.140625" style="90" hidden="1"/>
    <col min="6913" max="6913" width="60.7109375" style="90" hidden="1"/>
    <col min="6914" max="6916" width="9.140625" style="90" hidden="1"/>
    <col min="6917" max="6917" width="5" style="90" hidden="1"/>
    <col min="6918" max="6918" width="35.7109375" style="90" hidden="1"/>
    <col min="6919" max="7168" width="9.140625" style="90" hidden="1"/>
    <col min="7169" max="7169" width="60.7109375" style="90" hidden="1"/>
    <col min="7170" max="7172" width="9.140625" style="90" hidden="1"/>
    <col min="7173" max="7173" width="5" style="90" hidden="1"/>
    <col min="7174" max="7174" width="35.7109375" style="90" hidden="1"/>
    <col min="7175" max="7424" width="9.140625" style="90" hidden="1"/>
    <col min="7425" max="7425" width="60.7109375" style="90" hidden="1"/>
    <col min="7426" max="7428" width="9.140625" style="90" hidden="1"/>
    <col min="7429" max="7429" width="5" style="90" hidden="1"/>
    <col min="7430" max="7430" width="35.7109375" style="90" hidden="1"/>
    <col min="7431" max="7680" width="9.140625" style="90" hidden="1"/>
    <col min="7681" max="7681" width="60.7109375" style="90" hidden="1"/>
    <col min="7682" max="7684" width="9.140625" style="90" hidden="1"/>
    <col min="7685" max="7685" width="5" style="90" hidden="1"/>
    <col min="7686" max="7686" width="35.7109375" style="90" hidden="1"/>
    <col min="7687" max="7936" width="9.140625" style="90" hidden="1"/>
    <col min="7937" max="7937" width="60.7109375" style="90" hidden="1"/>
    <col min="7938" max="7940" width="9.140625" style="90" hidden="1"/>
    <col min="7941" max="7941" width="5" style="90" hidden="1"/>
    <col min="7942" max="7942" width="35.7109375" style="90" hidden="1"/>
    <col min="7943" max="8192" width="9.140625" style="90" hidden="1"/>
    <col min="8193" max="8193" width="60.7109375" style="90" hidden="1"/>
    <col min="8194" max="8196" width="9.140625" style="90" hidden="1"/>
    <col min="8197" max="8197" width="5" style="90" hidden="1"/>
    <col min="8198" max="8198" width="35.7109375" style="90" hidden="1"/>
    <col min="8199" max="8448" width="9.140625" style="90" hidden="1"/>
    <col min="8449" max="8449" width="60.7109375" style="90" hidden="1"/>
    <col min="8450" max="8452" width="9.140625" style="90" hidden="1"/>
    <col min="8453" max="8453" width="5" style="90" hidden="1"/>
    <col min="8454" max="8454" width="35.7109375" style="90" hidden="1"/>
    <col min="8455" max="8704" width="9.140625" style="90" hidden="1"/>
    <col min="8705" max="8705" width="60.7109375" style="90" hidden="1"/>
    <col min="8706" max="8708" width="9.140625" style="90" hidden="1"/>
    <col min="8709" max="8709" width="5" style="90" hidden="1"/>
    <col min="8710" max="8710" width="35.7109375" style="90" hidden="1"/>
    <col min="8711" max="8960" width="9.140625" style="90" hidden="1"/>
    <col min="8961" max="8961" width="60.7109375" style="90" hidden="1"/>
    <col min="8962" max="8964" width="9.140625" style="90" hidden="1"/>
    <col min="8965" max="8965" width="5" style="90" hidden="1"/>
    <col min="8966" max="8966" width="35.7109375" style="90" hidden="1"/>
    <col min="8967" max="9216" width="9.140625" style="90" hidden="1"/>
    <col min="9217" max="9217" width="60.7109375" style="90" hidden="1"/>
    <col min="9218" max="9220" width="9.140625" style="90" hidden="1"/>
    <col min="9221" max="9221" width="5" style="90" hidden="1"/>
    <col min="9222" max="9222" width="35.7109375" style="90" hidden="1"/>
    <col min="9223" max="9472" width="9.140625" style="90" hidden="1"/>
    <col min="9473" max="9473" width="60.7109375" style="90" hidden="1"/>
    <col min="9474" max="9476" width="9.140625" style="90" hidden="1"/>
    <col min="9477" max="9477" width="5" style="90" hidden="1"/>
    <col min="9478" max="9478" width="35.7109375" style="90" hidden="1"/>
    <col min="9479" max="9728" width="9.140625" style="90" hidden="1"/>
    <col min="9729" max="9729" width="60.7109375" style="90" hidden="1"/>
    <col min="9730" max="9732" width="9.140625" style="90" hidden="1"/>
    <col min="9733" max="9733" width="5" style="90" hidden="1"/>
    <col min="9734" max="9734" width="35.7109375" style="90" hidden="1"/>
    <col min="9735" max="9984" width="9.140625" style="90" hidden="1"/>
    <col min="9985" max="9985" width="60.7109375" style="90" hidden="1"/>
    <col min="9986" max="9988" width="9.140625" style="90" hidden="1"/>
    <col min="9989" max="9989" width="5" style="90" hidden="1"/>
    <col min="9990" max="9990" width="35.7109375" style="90" hidden="1"/>
    <col min="9991" max="10240" width="9.140625" style="90" hidden="1"/>
    <col min="10241" max="10241" width="60.7109375" style="90" hidden="1"/>
    <col min="10242" max="10244" width="9.140625" style="90" hidden="1"/>
    <col min="10245" max="10245" width="5" style="90" hidden="1"/>
    <col min="10246" max="10246" width="35.7109375" style="90" hidden="1"/>
    <col min="10247" max="10496" width="9.140625" style="90" hidden="1"/>
    <col min="10497" max="10497" width="60.7109375" style="90" hidden="1"/>
    <col min="10498" max="10500" width="9.140625" style="90" hidden="1"/>
    <col min="10501" max="10501" width="5" style="90" hidden="1"/>
    <col min="10502" max="10502" width="35.7109375" style="90" hidden="1"/>
    <col min="10503" max="10752" width="9.140625" style="90" hidden="1"/>
    <col min="10753" max="10753" width="60.7109375" style="90" hidden="1"/>
    <col min="10754" max="10756" width="9.140625" style="90" hidden="1"/>
    <col min="10757" max="10757" width="5" style="90" hidden="1"/>
    <col min="10758" max="10758" width="35.7109375" style="90" hidden="1"/>
    <col min="10759" max="11008" width="9.140625" style="90" hidden="1"/>
    <col min="11009" max="11009" width="60.7109375" style="90" hidden="1"/>
    <col min="11010" max="11012" width="9.140625" style="90" hidden="1"/>
    <col min="11013" max="11013" width="5" style="90" hidden="1"/>
    <col min="11014" max="11014" width="35.7109375" style="90" hidden="1"/>
    <col min="11015" max="11264" width="9.140625" style="90" hidden="1"/>
    <col min="11265" max="11265" width="60.7109375" style="90" hidden="1"/>
    <col min="11266" max="11268" width="9.140625" style="90" hidden="1"/>
    <col min="11269" max="11269" width="5" style="90" hidden="1"/>
    <col min="11270" max="11270" width="35.7109375" style="90" hidden="1"/>
    <col min="11271" max="11520" width="9.140625" style="90" hidden="1"/>
    <col min="11521" max="11521" width="60.7109375" style="90" hidden="1"/>
    <col min="11522" max="11524" width="9.140625" style="90" hidden="1"/>
    <col min="11525" max="11525" width="5" style="90" hidden="1"/>
    <col min="11526" max="11526" width="35.7109375" style="90" hidden="1"/>
    <col min="11527" max="11776" width="9.140625" style="90" hidden="1"/>
    <col min="11777" max="11777" width="60.7109375" style="90" hidden="1"/>
    <col min="11778" max="11780" width="9.140625" style="90" hidden="1"/>
    <col min="11781" max="11781" width="5" style="90" hidden="1"/>
    <col min="11782" max="11782" width="35.7109375" style="90" hidden="1"/>
    <col min="11783" max="12032" width="9.140625" style="90" hidden="1"/>
    <col min="12033" max="12033" width="60.7109375" style="90" hidden="1"/>
    <col min="12034" max="12036" width="9.140625" style="90" hidden="1"/>
    <col min="12037" max="12037" width="5" style="90" hidden="1"/>
    <col min="12038" max="12038" width="35.7109375" style="90" hidden="1"/>
    <col min="12039" max="12288" width="9.140625" style="90" hidden="1"/>
    <col min="12289" max="12289" width="60.7109375" style="90" hidden="1"/>
    <col min="12290" max="12292" width="9.140625" style="90" hidden="1"/>
    <col min="12293" max="12293" width="5" style="90" hidden="1"/>
    <col min="12294" max="12294" width="35.7109375" style="90" hidden="1"/>
    <col min="12295" max="12544" width="9.140625" style="90" hidden="1"/>
    <col min="12545" max="12545" width="60.7109375" style="90" hidden="1"/>
    <col min="12546" max="12548" width="9.140625" style="90" hidden="1"/>
    <col min="12549" max="12549" width="5" style="90" hidden="1"/>
    <col min="12550" max="12550" width="35.7109375" style="90" hidden="1"/>
    <col min="12551" max="12800" width="9.140625" style="90" hidden="1"/>
    <col min="12801" max="12801" width="60.7109375" style="90" hidden="1"/>
    <col min="12802" max="12804" width="9.140625" style="90" hidden="1"/>
    <col min="12805" max="12805" width="5" style="90" hidden="1"/>
    <col min="12806" max="12806" width="35.7109375" style="90" hidden="1"/>
    <col min="12807" max="13056" width="9.140625" style="90" hidden="1"/>
    <col min="13057" max="13057" width="60.7109375" style="90" hidden="1"/>
    <col min="13058" max="13060" width="9.140625" style="90" hidden="1"/>
    <col min="13061" max="13061" width="5" style="90" hidden="1"/>
    <col min="13062" max="13062" width="35.7109375" style="90" hidden="1"/>
    <col min="13063" max="13312" width="9.140625" style="90" hidden="1"/>
    <col min="13313" max="13313" width="60.7109375" style="90" hidden="1"/>
    <col min="13314" max="13316" width="9.140625" style="90" hidden="1"/>
    <col min="13317" max="13317" width="5" style="90" hidden="1"/>
    <col min="13318" max="13318" width="35.7109375" style="90" hidden="1"/>
    <col min="13319" max="13568" width="9.140625" style="90" hidden="1"/>
    <col min="13569" max="13569" width="60.7109375" style="90" hidden="1"/>
    <col min="13570" max="13572" width="9.140625" style="90" hidden="1"/>
    <col min="13573" max="13573" width="5" style="90" hidden="1"/>
    <col min="13574" max="13574" width="35.7109375" style="90" hidden="1"/>
    <col min="13575" max="13824" width="9.140625" style="90" hidden="1"/>
    <col min="13825" max="13825" width="60.7109375" style="90" hidden="1"/>
    <col min="13826" max="13828" width="9.140625" style="90" hidden="1"/>
    <col min="13829" max="13829" width="5" style="90" hidden="1"/>
    <col min="13830" max="13830" width="35.7109375" style="90" hidden="1"/>
    <col min="13831" max="14080" width="9.140625" style="90" hidden="1"/>
    <col min="14081" max="14081" width="60.7109375" style="90" hidden="1"/>
    <col min="14082" max="14084" width="9.140625" style="90" hidden="1"/>
    <col min="14085" max="14085" width="5" style="90" hidden="1"/>
    <col min="14086" max="14086" width="35.7109375" style="90" hidden="1"/>
    <col min="14087" max="14336" width="9.140625" style="90" hidden="1"/>
    <col min="14337" max="14337" width="60.7109375" style="90" hidden="1"/>
    <col min="14338" max="14340" width="9.140625" style="90" hidden="1"/>
    <col min="14341" max="14341" width="5" style="90" hidden="1"/>
    <col min="14342" max="14342" width="35.7109375" style="90" hidden="1"/>
    <col min="14343" max="14592" width="9.140625" style="90" hidden="1"/>
    <col min="14593" max="14593" width="60.7109375" style="90" hidden="1"/>
    <col min="14594" max="14596" width="9.140625" style="90" hidden="1"/>
    <col min="14597" max="14597" width="5" style="90" hidden="1"/>
    <col min="14598" max="14598" width="35.7109375" style="90" hidden="1"/>
    <col min="14599" max="14848" width="9.140625" style="90" hidden="1"/>
    <col min="14849" max="14849" width="60.7109375" style="90" hidden="1"/>
    <col min="14850" max="14852" width="9.140625" style="90" hidden="1"/>
    <col min="14853" max="14853" width="5" style="90" hidden="1"/>
    <col min="14854" max="14854" width="35.7109375" style="90" hidden="1"/>
    <col min="14855" max="15104" width="9.140625" style="90" hidden="1"/>
    <col min="15105" max="15105" width="60.7109375" style="90" hidden="1"/>
    <col min="15106" max="15108" width="9.140625" style="90" hidden="1"/>
    <col min="15109" max="15109" width="5" style="90" hidden="1"/>
    <col min="15110" max="15110" width="35.7109375" style="90" hidden="1"/>
    <col min="15111" max="15360" width="9.140625" style="90" hidden="1"/>
    <col min="15361" max="15361" width="60.7109375" style="90" hidden="1"/>
    <col min="15362" max="15364" width="9.140625" style="90" hidden="1"/>
    <col min="15365" max="15365" width="5" style="90" hidden="1"/>
    <col min="15366" max="15366" width="35.7109375" style="90" hidden="1"/>
    <col min="15367" max="15616" width="9.140625" style="90" hidden="1"/>
    <col min="15617" max="15617" width="60.7109375" style="90" hidden="1"/>
    <col min="15618" max="15620" width="9.140625" style="90" hidden="1"/>
    <col min="15621" max="15621" width="5" style="90" hidden="1"/>
    <col min="15622" max="15622" width="35.7109375" style="90" hidden="1"/>
    <col min="15623" max="15872" width="9.140625" style="90" hidden="1"/>
    <col min="15873" max="15873" width="60.7109375" style="90" hidden="1"/>
    <col min="15874" max="15876" width="9.140625" style="90" hidden="1"/>
    <col min="15877" max="15877" width="5" style="90" hidden="1"/>
    <col min="15878" max="15878" width="35.7109375" style="90" hidden="1"/>
    <col min="15879" max="16128" width="9.140625" style="90" hidden="1"/>
    <col min="16129" max="16129" width="60.7109375" style="90" hidden="1"/>
    <col min="16130" max="16132" width="9.140625" style="90" hidden="1"/>
    <col min="16133" max="16133" width="5" style="90" hidden="1"/>
    <col min="16134" max="16134" width="35.7109375" style="90" hidden="1"/>
    <col min="16135" max="16384" width="9.140625" style="90" hidden="1"/>
  </cols>
  <sheetData>
    <row r="1" spans="1:7" ht="13.5">
      <c r="A1" s="219" t="s">
        <v>83</v>
      </c>
      <c r="B1" s="219"/>
      <c r="C1" s="219"/>
      <c r="D1" s="219"/>
      <c r="E1" s="220"/>
      <c r="F1" s="139" t="s">
        <v>84</v>
      </c>
    </row>
    <row r="2" spans="1:7" ht="13.5">
      <c r="A2" s="221"/>
      <c r="B2" s="221"/>
      <c r="C2" s="221"/>
      <c r="D2" s="221"/>
      <c r="E2" s="222"/>
      <c r="F2" s="140" t="s">
        <v>85</v>
      </c>
    </row>
    <row r="3" spans="1:7" ht="13.5">
      <c r="A3" s="91" t="s">
        <v>86</v>
      </c>
      <c r="B3" s="91"/>
      <c r="C3" s="91"/>
      <c r="D3" s="91"/>
      <c r="E3" s="91"/>
      <c r="F3" s="214">
        <f>SUM(F4:F6)</f>
        <v>4241261010.2399998</v>
      </c>
      <c r="G3" s="92"/>
    </row>
    <row r="4" spans="1:7" ht="13.5">
      <c r="A4" s="93" t="s">
        <v>87</v>
      </c>
      <c r="B4" s="94"/>
      <c r="C4" s="94"/>
      <c r="D4" s="94"/>
      <c r="E4" s="94"/>
      <c r="F4" s="231">
        <v>2774978119.8400002</v>
      </c>
    </row>
    <row r="5" spans="1:7" ht="13.5">
      <c r="A5" s="95" t="s">
        <v>88</v>
      </c>
      <c r="B5" s="94"/>
      <c r="C5" s="94"/>
      <c r="D5" s="94"/>
      <c r="E5" s="94"/>
      <c r="F5" s="231">
        <v>1201196430.03</v>
      </c>
    </row>
    <row r="6" spans="1:7" ht="13.5">
      <c r="A6" s="95" t="s">
        <v>89</v>
      </c>
      <c r="B6" s="94"/>
      <c r="C6" s="94"/>
      <c r="D6" s="94"/>
      <c r="E6" s="94"/>
      <c r="F6" s="231">
        <v>265086460.37</v>
      </c>
    </row>
    <row r="7" spans="1:7" ht="13.5">
      <c r="A7" s="94" t="s">
        <v>90</v>
      </c>
      <c r="B7" s="94"/>
      <c r="C7" s="94"/>
      <c r="D7" s="94"/>
      <c r="E7" s="94"/>
      <c r="F7" s="213">
        <f>SUM(F8:F11)</f>
        <v>1400700957.99</v>
      </c>
      <c r="G7" s="92"/>
    </row>
    <row r="8" spans="1:7" ht="13.5">
      <c r="A8" s="96" t="s">
        <v>91</v>
      </c>
      <c r="B8" s="94"/>
      <c r="C8" s="94"/>
      <c r="D8" s="94"/>
      <c r="E8" s="94"/>
      <c r="F8" s="231">
        <v>43440.22</v>
      </c>
    </row>
    <row r="9" spans="1:7" ht="13.5">
      <c r="A9" s="96" t="s">
        <v>136</v>
      </c>
      <c r="B9" s="94"/>
      <c r="C9" s="94"/>
      <c r="D9" s="94"/>
      <c r="E9" s="94"/>
      <c r="F9" s="231">
        <v>199457387.74000001</v>
      </c>
    </row>
    <row r="10" spans="1:7" ht="13.5">
      <c r="A10" s="96" t="s">
        <v>92</v>
      </c>
      <c r="B10" s="94"/>
      <c r="C10" s="94"/>
      <c r="D10" s="94"/>
      <c r="E10" s="94"/>
      <c r="F10" s="231">
        <v>3700</v>
      </c>
    </row>
    <row r="11" spans="1:7" ht="13.5">
      <c r="A11" s="97" t="s">
        <v>93</v>
      </c>
      <c r="B11" s="98"/>
      <c r="C11" s="98"/>
      <c r="D11" s="98"/>
      <c r="E11" s="98"/>
      <c r="F11" s="232">
        <v>1201196430.03</v>
      </c>
    </row>
    <row r="12" spans="1:7" ht="13.5">
      <c r="A12" s="91" t="s">
        <v>94</v>
      </c>
      <c r="B12" s="98"/>
      <c r="C12" s="98"/>
      <c r="D12" s="98"/>
      <c r="E12" s="98"/>
      <c r="F12" s="215">
        <f>F3-F7</f>
        <v>2840560052.25</v>
      </c>
      <c r="G12" s="92"/>
    </row>
    <row r="13" spans="1:7" ht="13.5">
      <c r="A13" s="99" t="s">
        <v>95</v>
      </c>
      <c r="B13" s="99"/>
      <c r="C13" s="99"/>
      <c r="D13" s="99"/>
      <c r="E13" s="99"/>
      <c r="F13" s="134">
        <f>F12</f>
        <v>2840560052.25</v>
      </c>
    </row>
    <row r="14" spans="1:7" ht="13.5">
      <c r="A14" s="94"/>
      <c r="B14" s="94"/>
      <c r="C14" s="94"/>
      <c r="D14" s="94"/>
      <c r="E14" s="94"/>
      <c r="F14" s="94"/>
    </row>
    <row r="15" spans="1:7" ht="13.5">
      <c r="A15" s="223" t="s">
        <v>96</v>
      </c>
      <c r="B15" s="223"/>
      <c r="C15" s="223"/>
      <c r="D15" s="223"/>
      <c r="E15" s="223"/>
      <c r="F15" s="133" t="s">
        <v>97</v>
      </c>
    </row>
    <row r="16" spans="1:7" ht="13.5">
      <c r="A16" s="94" t="s">
        <v>98</v>
      </c>
      <c r="B16" s="94"/>
      <c r="C16" s="94"/>
      <c r="D16" s="94"/>
      <c r="E16" s="94"/>
      <c r="F16" s="233">
        <v>6951128911.1599998</v>
      </c>
    </row>
    <row r="17" spans="1:6" ht="13.5">
      <c r="A17" s="99" t="s">
        <v>99</v>
      </c>
      <c r="B17" s="99"/>
      <c r="C17" s="99"/>
      <c r="D17" s="99"/>
      <c r="E17" s="99"/>
      <c r="F17" s="135">
        <f>F13/F16</f>
        <v>0.40864729866964433</v>
      </c>
    </row>
    <row r="18" spans="1:6" ht="13.5">
      <c r="A18" s="224" t="s">
        <v>100</v>
      </c>
      <c r="B18" s="224"/>
      <c r="C18" s="224"/>
      <c r="D18" s="224"/>
      <c r="E18" s="224"/>
      <c r="F18" s="137">
        <v>0.6</v>
      </c>
    </row>
    <row r="19" spans="1:6" ht="13.5">
      <c r="A19" s="94" t="s">
        <v>101</v>
      </c>
      <c r="B19" s="94"/>
      <c r="C19" s="94"/>
      <c r="D19" s="94"/>
      <c r="E19" s="94"/>
      <c r="F19" s="136">
        <f>F18*0.95</f>
        <v>0.56999999999999995</v>
      </c>
    </row>
    <row r="20" spans="1:6" ht="13.5">
      <c r="A20" s="94" t="s">
        <v>102</v>
      </c>
      <c r="B20" s="94"/>
      <c r="C20" s="94"/>
      <c r="D20" s="94"/>
      <c r="E20" s="94"/>
      <c r="F20" s="136">
        <f>F18*0.9</f>
        <v>0.54</v>
      </c>
    </row>
    <row r="21" spans="1:6"/>
  </sheetData>
  <sheetProtection algorithmName="SHA-512" hashValue="mom2wwfYTRCoeWdCdq6md0edU/8H4Cc7L3XjxGD5qsog6xDhBZEv04RbW2Nn5YyMHQN4lYoCH12POm31UZARLQ==" saltValue="17d6YRJnTxthCQ8oUjvtsw==" spinCount="100000" sheet="1" objects="1" scenarios="1" selectLockedCells="1"/>
  <mergeCells count="3">
    <mergeCell ref="A1:E2"/>
    <mergeCell ref="A15:E15"/>
    <mergeCell ref="A18:E1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Q67"/>
  <sheetViews>
    <sheetView showGridLines="0" zoomScaleNormal="100" zoomScaleSheetLayoutView="85" workbookViewId="0">
      <pane xSplit="10" ySplit="28" topLeftCell="K29" activePane="bottomRight" state="frozen"/>
      <selection pane="topRight" activeCell="K1" sqref="K1"/>
      <selection pane="bottomLeft" activeCell="A29" sqref="A29"/>
      <selection pane="bottomRight" activeCell="B23" sqref="B23"/>
    </sheetView>
  </sheetViews>
  <sheetFormatPr defaultColWidth="0" defaultRowHeight="12.75" zeroHeight="1"/>
  <cols>
    <col min="1" max="1" width="56" style="53" customWidth="1"/>
    <col min="2" max="2" width="14" style="53" bestFit="1" customWidth="1"/>
    <col min="3" max="3" width="17.5703125" style="53" customWidth="1"/>
    <col min="4" max="4" width="10" style="53" customWidth="1"/>
    <col min="5" max="5" width="3.28515625" style="53" customWidth="1"/>
    <col min="6" max="6" width="18.85546875" style="53" customWidth="1"/>
    <col min="7" max="7" width="15.140625" style="53" customWidth="1"/>
    <col min="8" max="10" width="18.85546875" style="53" customWidth="1"/>
    <col min="11" max="11" width="12.5703125" style="53" bestFit="1" customWidth="1"/>
    <col min="12" max="17" width="17.42578125" style="53" hidden="1" customWidth="1"/>
    <col min="18" max="16384" width="41.42578125" style="53" hidden="1"/>
  </cols>
  <sheetData>
    <row r="1" spans="1:6" s="64" customFormat="1" ht="18">
      <c r="A1" s="70" t="s">
        <v>132</v>
      </c>
      <c r="B1" s="67"/>
      <c r="C1" s="67"/>
      <c r="D1" s="67"/>
      <c r="E1" s="55"/>
    </row>
    <row r="2" spans="1:6"/>
    <row r="3" spans="1:6" s="55" customFormat="1" ht="13.5" thickBot="1">
      <c r="A3" s="68" t="s">
        <v>117</v>
      </c>
      <c r="D3" s="53"/>
      <c r="E3" s="53"/>
    </row>
    <row r="4" spans="1:6">
      <c r="A4" s="56" t="s">
        <v>103</v>
      </c>
      <c r="B4" s="56"/>
      <c r="C4" s="57">
        <v>2020</v>
      </c>
    </row>
    <row r="5" spans="1:6">
      <c r="A5" s="58" t="s">
        <v>104</v>
      </c>
      <c r="B5" s="58"/>
      <c r="C5" s="190">
        <v>43830</v>
      </c>
    </row>
    <row r="6" spans="1:6">
      <c r="A6" s="59" t="s">
        <v>105</v>
      </c>
      <c r="B6" s="59"/>
      <c r="C6" s="191">
        <v>43831</v>
      </c>
    </row>
    <row r="7" spans="1:6" ht="13.5" thickBot="1"/>
    <row r="8" spans="1:6">
      <c r="A8" s="69"/>
      <c r="B8" s="234" t="s">
        <v>106</v>
      </c>
      <c r="C8" s="239" t="s">
        <v>107</v>
      </c>
    </row>
    <row r="9" spans="1:6">
      <c r="A9" s="145" t="str">
        <f>CONCATENATE("Contribuições do Ente + Parcelamentos (Ano: ",A28,")")</f>
        <v>Contribuições do Ente + Parcelamentos (Ano: 2019)</v>
      </c>
      <c r="B9" s="235"/>
      <c r="C9" s="240">
        <f>30823137+326588280.63</f>
        <v>357411417.63</v>
      </c>
      <c r="F9" s="192" t="s">
        <v>137</v>
      </c>
    </row>
    <row r="10" spans="1:6">
      <c r="A10" s="145" t="str">
        <f>CONCATENATE("Despesas do RPPS- Benefícios e Administrativas (Ano: ",A28,")")</f>
        <v>Despesas do RPPS- Benefícios e Administrativas (Ano: 2019)</v>
      </c>
      <c r="B10" s="235"/>
      <c r="C10" s="240">
        <v>1290297218.74</v>
      </c>
    </row>
    <row r="11" spans="1:6">
      <c r="A11" s="145" t="s">
        <v>108</v>
      </c>
      <c r="B11" s="236">
        <f>C28-C9-IF(C10-C9&gt;0,C10-C9,0)</f>
        <v>1550262833.5099998</v>
      </c>
      <c r="C11" s="241" t="s">
        <v>137</v>
      </c>
    </row>
    <row r="12" spans="1:6">
      <c r="A12" s="145" t="s">
        <v>109</v>
      </c>
      <c r="B12" s="237"/>
      <c r="C12" s="240">
        <v>-1091474151.71</v>
      </c>
    </row>
    <row r="13" spans="1:6" ht="13.5" thickBot="1">
      <c r="A13" s="145" t="s">
        <v>110</v>
      </c>
      <c r="B13" s="236">
        <f>'Fluxo e Duração do Passivo'!BL161</f>
        <v>8046522.2999999523</v>
      </c>
      <c r="C13" s="242"/>
    </row>
    <row r="14" spans="1:6">
      <c r="A14" s="145" t="str">
        <f>CONCATENATE("Variação Média - ",B17)</f>
        <v>Variação Média - RECEITA CORRENTE LÍQUIDA - RCL</v>
      </c>
      <c r="B14" s="85">
        <f>AVERAGE(I18:I28)</f>
        <v>2.8764419609007996E-2</v>
      </c>
      <c r="C14"/>
    </row>
    <row r="15" spans="1:6" ht="13.5" thickBot="1">
      <c r="A15" s="146" t="str">
        <f>CONCATENATE("Variação Média - ",C17)</f>
        <v>Variação Média - DESPESA LÍQUIDA COM PESSOAL</v>
      </c>
      <c r="B15" s="89">
        <f>AVERAGE(J18:J28)</f>
        <v>5.6256546363791403E-3</v>
      </c>
      <c r="C15"/>
    </row>
    <row r="16" spans="1:6" ht="13.5" thickBot="1"/>
    <row r="17" spans="1:14" s="60" customFormat="1" ht="38.25">
      <c r="A17" s="74" t="s">
        <v>111</v>
      </c>
      <c r="B17" s="75" t="s">
        <v>112</v>
      </c>
      <c r="C17" s="76" t="s">
        <v>113</v>
      </c>
      <c r="D17" s="77" t="s">
        <v>114</v>
      </c>
      <c r="E17" s="55"/>
      <c r="F17" s="80" t="s">
        <v>115</v>
      </c>
      <c r="G17" s="81" t="str">
        <f>CONCATENATE(B17," (em base de ",A28,")")</f>
        <v>RECEITA CORRENTE LÍQUIDA - RCL (em base de 2019)</v>
      </c>
      <c r="H17" s="82" t="str">
        <f>CONCATENATE(B17," (em base de ",A28,")")</f>
        <v>RECEITA CORRENTE LÍQUIDA - RCL (em base de 2019)</v>
      </c>
      <c r="I17" s="81" t="str">
        <f>CONCATENATE("Variação real da ",B17)</f>
        <v>Variação real da RECEITA CORRENTE LÍQUIDA - RCL</v>
      </c>
      <c r="J17" s="83" t="str">
        <f>CONCATENATE("Variação real da ",C17)</f>
        <v>Variação real da DESPESA LÍQUIDA COM PESSOAL</v>
      </c>
      <c r="M17"/>
      <c r="N17" s="138"/>
    </row>
    <row r="18" spans="1:14" ht="12.75" customHeight="1">
      <c r="A18" s="61">
        <f t="shared" ref="A18:A27" si="0">A19-1</f>
        <v>2009</v>
      </c>
      <c r="B18" s="238">
        <v>3057175512.5700002</v>
      </c>
      <c r="C18" s="62">
        <f>0.94*C19</f>
        <v>1529968576.6360471</v>
      </c>
      <c r="D18" s="78">
        <v>4.1100000000000005E-2</v>
      </c>
      <c r="E18" s="71"/>
      <c r="F18" s="84"/>
      <c r="G18" s="72">
        <f t="shared" ref="G18:G27" si="1">IFERROR((1+$F19)*B18,"")</f>
        <v>5378758696.2610846</v>
      </c>
      <c r="H18" s="72">
        <f t="shared" ref="H18:H26" si="2">IFERROR((1+$F19)*C18,"")</f>
        <v>2691808747.2411366</v>
      </c>
      <c r="I18" s="73" t="str">
        <f t="shared" ref="I18:J28" si="3">IFERROR(G18/G17-1,"")</f>
        <v/>
      </c>
      <c r="J18" s="85" t="str">
        <f t="shared" si="3"/>
        <v/>
      </c>
      <c r="L18" s="225"/>
      <c r="M18" s="225"/>
      <c r="N18" s="138"/>
    </row>
    <row r="19" spans="1:14" ht="12.75" customHeight="1">
      <c r="A19" s="61">
        <f t="shared" si="0"/>
        <v>2010</v>
      </c>
      <c r="B19" s="238">
        <v>3400113347.8000002</v>
      </c>
      <c r="C19" s="62">
        <f t="shared" ref="C19:C26" si="4">0.94*C20</f>
        <v>1627626145.357497</v>
      </c>
      <c r="D19" s="78">
        <v>6.4600000000000005E-2</v>
      </c>
      <c r="E19" s="71"/>
      <c r="F19" s="84">
        <f>IF(D19="","",((1+F20)*(1+D19))-1)</f>
        <v>0.75938825695337853</v>
      </c>
      <c r="G19" s="72">
        <f t="shared" si="1"/>
        <v>5619124080.8094673</v>
      </c>
      <c r="H19" s="72">
        <f t="shared" si="2"/>
        <v>2689861287.6688643</v>
      </c>
      <c r="I19" s="73">
        <f t="shared" si="3"/>
        <v>4.4687891411724134E-2</v>
      </c>
      <c r="J19" s="85">
        <f t="shared" si="3"/>
        <v>-7.2347620322887884E-4</v>
      </c>
      <c r="L19" s="225"/>
      <c r="M19" s="225"/>
      <c r="N19" s="138"/>
    </row>
    <row r="20" spans="1:14" ht="12.75" customHeight="1">
      <c r="A20" s="61">
        <f t="shared" si="0"/>
        <v>2011</v>
      </c>
      <c r="B20" s="238">
        <v>4210598250.4699998</v>
      </c>
      <c r="C20" s="62">
        <f t="shared" si="4"/>
        <v>1731517175.912231</v>
      </c>
      <c r="D20" s="78">
        <v>6.08E-2</v>
      </c>
      <c r="E20" s="71"/>
      <c r="F20" s="84">
        <f t="shared" ref="F20:F26" si="5">IF(D20="","",((1+F21)*(1+D20))-1)</f>
        <v>0.65262845853219842</v>
      </c>
      <c r="G20" s="72">
        <f t="shared" si="1"/>
        <v>6559723318.4130917</v>
      </c>
      <c r="H20" s="72">
        <f t="shared" si="2"/>
        <v>2697543892.6752033</v>
      </c>
      <c r="I20" s="73">
        <f t="shared" si="3"/>
        <v>0.16739250176303733</v>
      </c>
      <c r="J20" s="85">
        <f t="shared" si="3"/>
        <v>2.8561342704020998E-3</v>
      </c>
      <c r="L20" s="225"/>
      <c r="M20" s="225"/>
      <c r="N20" s="138"/>
    </row>
    <row r="21" spans="1:14" ht="12.75" customHeight="1">
      <c r="A21" s="61">
        <f t="shared" si="0"/>
        <v>2012</v>
      </c>
      <c r="B21" s="238">
        <v>5077031124.0100002</v>
      </c>
      <c r="C21" s="62">
        <f t="shared" si="4"/>
        <v>1842039548.8427989</v>
      </c>
      <c r="D21" s="78">
        <v>6.2E-2</v>
      </c>
      <c r="E21" s="71"/>
      <c r="F21" s="84">
        <f t="shared" si="5"/>
        <v>0.55790767207032288</v>
      </c>
      <c r="G21" s="72">
        <f t="shared" si="1"/>
        <v>7447783182.1421795</v>
      </c>
      <c r="H21" s="72">
        <f t="shared" si="2"/>
        <v>2702191662.3344188</v>
      </c>
      <c r="I21" s="73">
        <f t="shared" si="3"/>
        <v>0.13538068918795876</v>
      </c>
      <c r="J21" s="85">
        <f t="shared" si="3"/>
        <v>1.7229634972153463E-3</v>
      </c>
      <c r="L21" s="225"/>
      <c r="M21" s="225"/>
      <c r="N21" s="138"/>
    </row>
    <row r="22" spans="1:14" ht="12.75" customHeight="1">
      <c r="A22" s="61">
        <f t="shared" si="0"/>
        <v>2013</v>
      </c>
      <c r="B22" s="238">
        <v>5379228393.9200001</v>
      </c>
      <c r="C22" s="62">
        <f t="shared" si="4"/>
        <v>1959616541.3221266</v>
      </c>
      <c r="D22" s="78">
        <v>5.5599999999999997E-2</v>
      </c>
      <c r="E22" s="71"/>
      <c r="F22" s="84">
        <f t="shared" si="5"/>
        <v>0.46695637671405166</v>
      </c>
      <c r="G22" s="72">
        <f t="shared" si="1"/>
        <v>7475457933.1775579</v>
      </c>
      <c r="H22" s="72">
        <f t="shared" si="2"/>
        <v>2723258792.3520541</v>
      </c>
      <c r="I22" s="73">
        <f t="shared" si="3"/>
        <v>3.7158373651013932E-3</v>
      </c>
      <c r="J22" s="85">
        <f t="shared" si="3"/>
        <v>7.7963122717341626E-3</v>
      </c>
      <c r="L22" s="225"/>
      <c r="M22" s="225"/>
      <c r="N22" s="138"/>
    </row>
    <row r="23" spans="1:14" ht="12.75" customHeight="1">
      <c r="A23" s="61">
        <f t="shared" si="0"/>
        <v>2014</v>
      </c>
      <c r="B23" s="238">
        <v>5865687443.0200005</v>
      </c>
      <c r="C23" s="62">
        <f t="shared" si="4"/>
        <v>2084698448.2150285</v>
      </c>
      <c r="D23" s="78">
        <v>6.2300000000000001E-2</v>
      </c>
      <c r="E23" s="71"/>
      <c r="F23" s="84">
        <f t="shared" si="5"/>
        <v>0.38968963311297045</v>
      </c>
      <c r="G23" s="72">
        <f t="shared" si="1"/>
        <v>7673430321.6095476</v>
      </c>
      <c r="H23" s="72">
        <f t="shared" si="2"/>
        <v>2727180477.8792448</v>
      </c>
      <c r="I23" s="73">
        <f t="shared" si="3"/>
        <v>2.6482978059892304E-2</v>
      </c>
      <c r="J23" s="85">
        <f t="shared" si="3"/>
        <v>1.4400708218418323E-3</v>
      </c>
      <c r="L23" s="225"/>
      <c r="M23" s="225"/>
      <c r="N23" s="138"/>
    </row>
    <row r="24" spans="1:14" ht="12.75" customHeight="1">
      <c r="A24" s="61">
        <f t="shared" si="0"/>
        <v>2015</v>
      </c>
      <c r="B24" s="238">
        <v>6244926654.25</v>
      </c>
      <c r="C24" s="62">
        <f t="shared" si="4"/>
        <v>2217764306.6117325</v>
      </c>
      <c r="D24" s="78">
        <v>0.1128</v>
      </c>
      <c r="E24" s="71"/>
      <c r="F24" s="84">
        <f t="shared" si="5"/>
        <v>0.30818943152873057</v>
      </c>
      <c r="G24" s="72">
        <f t="shared" si="1"/>
        <v>7341433366.0693064</v>
      </c>
      <c r="H24" s="72">
        <f t="shared" si="2"/>
        <v>2607167350.4053841</v>
      </c>
      <c r="I24" s="73">
        <f t="shared" si="3"/>
        <v>-4.3265780964386602E-2</v>
      </c>
      <c r="J24" s="85">
        <f t="shared" si="3"/>
        <v>-4.4006301910457846E-2</v>
      </c>
      <c r="L24" s="225"/>
      <c r="M24" s="225"/>
      <c r="N24" s="138"/>
    </row>
    <row r="25" spans="1:14" ht="12.75" customHeight="1">
      <c r="A25" s="61">
        <f t="shared" si="0"/>
        <v>2016</v>
      </c>
      <c r="B25" s="238">
        <v>6431176668.3900003</v>
      </c>
      <c r="C25" s="62">
        <f t="shared" si="4"/>
        <v>2359323730.4380136</v>
      </c>
      <c r="D25" s="78">
        <v>6.5799999999999997E-2</v>
      </c>
      <c r="E25" s="71"/>
      <c r="F25" s="84">
        <f t="shared" si="5"/>
        <v>0.17558360130187856</v>
      </c>
      <c r="G25" s="72">
        <f t="shared" si="1"/>
        <v>7093625284.7011948</v>
      </c>
      <c r="H25" s="72">
        <f t="shared" si="2"/>
        <v>2602347802.2755699</v>
      </c>
      <c r="I25" s="73">
        <f t="shared" si="3"/>
        <v>-3.3754727314346145E-2</v>
      </c>
      <c r="J25" s="85">
        <f t="shared" si="3"/>
        <v>-1.8485764364396529E-3</v>
      </c>
      <c r="L25" s="225"/>
      <c r="M25" s="225"/>
      <c r="N25" s="138"/>
    </row>
    <row r="26" spans="1:14" ht="12.75" customHeight="1">
      <c r="A26" s="61">
        <f t="shared" si="0"/>
        <v>2017</v>
      </c>
      <c r="B26" s="238">
        <v>5903879895.0600004</v>
      </c>
      <c r="C26" s="62">
        <f t="shared" si="4"/>
        <v>2509918862.1680999</v>
      </c>
      <c r="D26" s="78">
        <v>2.07E-2</v>
      </c>
      <c r="E26" s="71"/>
      <c r="F26" s="84">
        <f t="shared" si="5"/>
        <v>0.10300581844800005</v>
      </c>
      <c r="G26" s="72">
        <f t="shared" si="1"/>
        <v>6379948932.7611914</v>
      </c>
      <c r="H26" s="72">
        <f t="shared" si="2"/>
        <v>2712310285.8859587</v>
      </c>
      <c r="I26" s="73">
        <f t="shared" si="3"/>
        <v>-0.10060812677534403</v>
      </c>
      <c r="J26" s="85">
        <f t="shared" si="3"/>
        <v>4.2255106528894526E-2</v>
      </c>
      <c r="L26" s="225"/>
      <c r="M26" s="225"/>
      <c r="N26" s="138"/>
    </row>
    <row r="27" spans="1:14">
      <c r="A27" s="61">
        <f t="shared" si="0"/>
        <v>2018</v>
      </c>
      <c r="B27" s="238">
        <v>6360812529.4499998</v>
      </c>
      <c r="C27" s="62">
        <f>0.94*C28</f>
        <v>2670126449.1149998</v>
      </c>
      <c r="D27" s="78">
        <v>3.4300000000000004E-2</v>
      </c>
      <c r="E27" s="71"/>
      <c r="F27" s="84">
        <f>IF(D27="","",((1+F28)*(1+D27))-1)</f>
        <v>8.0636640000000037E-2</v>
      </c>
      <c r="G27" s="72">
        <f t="shared" si="1"/>
        <v>6645776930.7693596</v>
      </c>
      <c r="H27" s="72">
        <f>IFERROR((1+$F28)*C27,"")</f>
        <v>2789748114.0353518</v>
      </c>
      <c r="I27" s="73">
        <f t="shared" si="3"/>
        <v>4.1666163916004972E-2</v>
      </c>
      <c r="J27" s="85">
        <f t="shared" si="3"/>
        <v>2.8550504915442865E-2</v>
      </c>
    </row>
    <row r="28" spans="1:14" ht="13.5" thickBot="1">
      <c r="A28" s="63">
        <f>C4-1</f>
        <v>2019</v>
      </c>
      <c r="B28" s="243">
        <v>6951128911.1599998</v>
      </c>
      <c r="C28" s="79">
        <f>'Anexo 1 - Despesa com Pessoal '!F12</f>
        <v>2840560052.25</v>
      </c>
      <c r="D28" s="205">
        <v>4.48E-2</v>
      </c>
      <c r="E28" s="71"/>
      <c r="F28" s="86">
        <f>IF(D28="","",((1+D29)*(1+D28))-1)</f>
        <v>4.4799999999999951E-2</v>
      </c>
      <c r="G28" s="87">
        <f>IFERROR((1+$D29)*B28,"")</f>
        <v>6951128911.1599998</v>
      </c>
      <c r="H28" s="87">
        <f>IFERROR((1+$D29)*C28,"")</f>
        <v>2840560052.25</v>
      </c>
      <c r="I28" s="88">
        <f t="shared" si="3"/>
        <v>4.5946769440437851E-2</v>
      </c>
      <c r="J28" s="89">
        <f t="shared" si="3"/>
        <v>1.821380860838695E-2</v>
      </c>
    </row>
    <row r="29" spans="1:14" s="64" customFormat="1">
      <c r="E29" s="53"/>
    </row>
    <row r="30" spans="1:14" s="64" customFormat="1">
      <c r="E30" s="53"/>
    </row>
    <row r="31" spans="1:14" s="64" customFormat="1">
      <c r="E31" s="53"/>
    </row>
    <row r="32" spans="1:14" s="64" customFormat="1" hidden="1">
      <c r="E32" s="53"/>
    </row>
    <row r="33" spans="5:5" s="64" customFormat="1" hidden="1">
      <c r="E33" s="53"/>
    </row>
    <row r="34" spans="5:5" s="64" customFormat="1" hidden="1">
      <c r="E34" s="53"/>
    </row>
    <row r="35" spans="5:5" s="64" customFormat="1" hidden="1">
      <c r="E35" s="53"/>
    </row>
    <row r="36" spans="5:5" s="64" customFormat="1" hidden="1">
      <c r="E36" s="53"/>
    </row>
    <row r="37" spans="5:5" s="64" customFormat="1" hidden="1">
      <c r="E37" s="53"/>
    </row>
    <row r="38" spans="5:5" s="64" customFormat="1" hidden="1">
      <c r="E38" s="53"/>
    </row>
    <row r="39" spans="5:5" s="64" customFormat="1" hidden="1">
      <c r="E39" s="53"/>
    </row>
    <row r="40" spans="5:5" s="64" customFormat="1" hidden="1">
      <c r="E40" s="53"/>
    </row>
    <row r="41" spans="5:5" s="64" customFormat="1" hidden="1">
      <c r="E41" s="53"/>
    </row>
    <row r="42" spans="5:5" s="64" customFormat="1" hidden="1">
      <c r="E42" s="53"/>
    </row>
    <row r="43" spans="5:5" s="64" customFormat="1" hidden="1">
      <c r="E43" s="53"/>
    </row>
    <row r="44" spans="5:5" s="64" customFormat="1" hidden="1">
      <c r="E44" s="53"/>
    </row>
    <row r="45" spans="5:5" s="64" customFormat="1" hidden="1">
      <c r="E45" s="53"/>
    </row>
    <row r="46" spans="5:5" s="64" customFormat="1" hidden="1">
      <c r="E46" s="53"/>
    </row>
    <row r="47" spans="5:5" s="64" customFormat="1" hidden="1">
      <c r="E47" s="53"/>
    </row>
    <row r="48" spans="5:5" s="64" customFormat="1" hidden="1">
      <c r="E48" s="53"/>
    </row>
    <row r="49" spans="5:5" s="64" customFormat="1" hidden="1">
      <c r="E49" s="53"/>
    </row>
    <row r="50" spans="5:5" s="64" customFormat="1" hidden="1">
      <c r="E50" s="53"/>
    </row>
    <row r="51" spans="5:5" s="64" customFormat="1" hidden="1">
      <c r="E51" s="53"/>
    </row>
    <row r="52" spans="5:5" s="64" customFormat="1" hidden="1">
      <c r="E52" s="53"/>
    </row>
    <row r="53" spans="5:5" s="64" customFormat="1" hidden="1">
      <c r="E53" s="53"/>
    </row>
    <row r="54" spans="5:5" s="64" customFormat="1" hidden="1">
      <c r="E54" s="53"/>
    </row>
    <row r="55" spans="5:5" hidden="1"/>
    <row r="56" spans="5:5" hidden="1"/>
    <row r="57" spans="5:5" hidden="1"/>
    <row r="58" spans="5:5" hidden="1"/>
    <row r="59" spans="5:5" hidden="1"/>
    <row r="60" spans="5:5" hidden="1"/>
    <row r="61" spans="5:5" hidden="1"/>
    <row r="62" spans="5:5" hidden="1"/>
    <row r="63" spans="5:5" hidden="1"/>
    <row r="64" spans="5:5" hidden="1"/>
    <row r="65" hidden="1"/>
    <row r="66" hidden="1"/>
    <row r="67" s="65" customFormat="1" hidden="1"/>
  </sheetData>
  <sheetProtection algorithmName="SHA-512" hashValue="fYj/O1K5sr77T7z22KMAKfTEhbgnWohO1dRHudsldC83a/nqxVrC072y5rY6iG0OPs76894EiQFoxgRxDuDmRQ==" saltValue="+Ad24KFvHwMouBgXKWuAFQ==" spinCount="100000" sheet="1" objects="1" scenarios="1" selectLockedCells="1"/>
  <mergeCells count="9">
    <mergeCell ref="L24:M24"/>
    <mergeCell ref="L25:M25"/>
    <mergeCell ref="L26:M26"/>
    <mergeCell ref="L18:M18"/>
    <mergeCell ref="L19:M19"/>
    <mergeCell ref="L20:M20"/>
    <mergeCell ref="L21:M21"/>
    <mergeCell ref="L22:M22"/>
    <mergeCell ref="L23:M23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W81"/>
  <sheetViews>
    <sheetView showGridLines="0" zoomScale="85" zoomScaleNormal="85" zoomScaleSheetLayoutView="85" workbookViewId="0">
      <pane ySplit="7" topLeftCell="A8" activePane="bottomLeft" state="frozen"/>
      <selection pane="bottomLeft" activeCell="J7" sqref="J7"/>
    </sheetView>
  </sheetViews>
  <sheetFormatPr defaultColWidth="0" defaultRowHeight="12.75" zeroHeight="1"/>
  <cols>
    <col min="1" max="1" width="6.28515625" style="53" customWidth="1"/>
    <col min="2" max="2" width="4.85546875" style="53" customWidth="1"/>
    <col min="3" max="3" width="13.7109375" style="53" customWidth="1"/>
    <col min="4" max="4" width="14.28515625" style="53" customWidth="1"/>
    <col min="5" max="6" width="15.42578125" style="53" customWidth="1"/>
    <col min="7" max="7" width="19.42578125" style="53" customWidth="1"/>
    <col min="8" max="9" width="14.7109375" style="53" customWidth="1"/>
    <col min="10" max="10" width="17.5703125" style="53" customWidth="1"/>
    <col min="11" max="11" width="14.7109375" style="53" customWidth="1"/>
    <col min="12" max="12" width="14.42578125" style="53" customWidth="1"/>
    <col min="13" max="13" width="19" style="71" customWidth="1"/>
    <col min="14" max="23" width="0" style="53" hidden="1" customWidth="1"/>
    <col min="24" max="16384" width="19" style="53" hidden="1"/>
  </cols>
  <sheetData>
    <row r="1" spans="1:23" s="51" customFormat="1" ht="18">
      <c r="A1" s="66" t="s">
        <v>116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0"/>
    </row>
    <row r="2" spans="1:23" s="51" customFormat="1">
      <c r="A2" s="53"/>
      <c r="B2" s="53"/>
      <c r="C2" s="53"/>
      <c r="D2" s="53"/>
      <c r="G2" s="53"/>
      <c r="M2" s="100"/>
    </row>
    <row r="3" spans="1:23" s="101" customFormat="1">
      <c r="A3" s="101" t="s">
        <v>117</v>
      </c>
      <c r="D3" s="55"/>
      <c r="E3" s="55"/>
      <c r="F3" s="55"/>
      <c r="G3" s="55"/>
      <c r="H3" s="55"/>
      <c r="I3" s="55"/>
      <c r="J3" s="55"/>
      <c r="K3" s="55"/>
      <c r="L3" s="55"/>
      <c r="M3" s="102"/>
    </row>
    <row r="4" spans="1:23" s="101" customFormat="1">
      <c r="D4" s="55"/>
      <c r="E4" s="55"/>
      <c r="F4" s="55"/>
      <c r="G4" s="55"/>
      <c r="H4" s="55"/>
      <c r="I4" s="55"/>
      <c r="J4" s="55"/>
      <c r="K4" s="55"/>
      <c r="L4" s="55"/>
      <c r="M4" s="102"/>
    </row>
    <row r="5" spans="1:23" s="54" customFormat="1">
      <c r="A5" s="226" t="s">
        <v>118</v>
      </c>
      <c r="B5" s="226"/>
      <c r="C5" s="226"/>
      <c r="D5" s="226"/>
      <c r="E5" s="226"/>
      <c r="F5" s="226"/>
      <c r="G5" s="109">
        <f>('01- Histórico'!C12+'01- Histórico'!C13)/'01- Histórico'!B28</f>
        <v>-0.1570211350788854</v>
      </c>
      <c r="M5" s="71"/>
      <c r="Q5" s="53"/>
      <c r="R5" s="53"/>
      <c r="S5" s="53"/>
      <c r="T5" s="53"/>
      <c r="U5" s="53"/>
      <c r="W5" s="53"/>
    </row>
    <row r="6" spans="1:23" ht="13.5" thickBot="1"/>
    <row r="7" spans="1:23" s="60" customFormat="1" ht="75" customHeight="1">
      <c r="A7" s="103" t="s">
        <v>111</v>
      </c>
      <c r="B7" s="104" t="s">
        <v>119</v>
      </c>
      <c r="C7" s="81" t="str">
        <f>'01- Histórico'!B17</f>
        <v>RECEITA CORRENTE LÍQUIDA - RCL</v>
      </c>
      <c r="D7" s="105" t="s">
        <v>108</v>
      </c>
      <c r="E7" s="82" t="s">
        <v>130</v>
      </c>
      <c r="F7" s="82" t="s">
        <v>120</v>
      </c>
      <c r="G7" s="106" t="s">
        <v>121</v>
      </c>
      <c r="H7" s="81" t="s">
        <v>122</v>
      </c>
      <c r="I7" s="81" t="s">
        <v>123</v>
      </c>
      <c r="J7" s="81" t="s">
        <v>124</v>
      </c>
      <c r="K7" s="81" t="s">
        <v>125</v>
      </c>
      <c r="L7" s="107" t="s">
        <v>126</v>
      </c>
      <c r="M7" s="108"/>
    </row>
    <row r="8" spans="1:23">
      <c r="A8" s="206">
        <f>'01- Histórico'!A28</f>
        <v>2019</v>
      </c>
      <c r="B8" s="207">
        <v>0</v>
      </c>
      <c r="C8" s="208">
        <f>'01- Histórico'!B28</f>
        <v>6951128911.1599998</v>
      </c>
      <c r="D8" s="208">
        <f>'Anexo 1 - Despesa com Pessoal '!F13</f>
        <v>2840560052.25</v>
      </c>
      <c r="E8" s="208">
        <f>'Fluxo e Duração do Passivo'!E10</f>
        <v>1695584329.03</v>
      </c>
      <c r="F8" s="208">
        <f>'Fluxo e Duração do Passivo'!AS10+'Fluxo e Duração do Passivo'!AZ10</f>
        <v>1365097282.93273</v>
      </c>
      <c r="G8" s="208">
        <f>'Fluxo e Duração do Passivo'!M10</f>
        <v>422989460.63770002</v>
      </c>
      <c r="H8" s="209">
        <f>'Fluxo e Duração do Passivo'!AO10</f>
        <v>351245695.81</v>
      </c>
      <c r="I8" s="209">
        <f>'Fluxo e Duração do Passivo'!AP10</f>
        <v>33535069.811250005</v>
      </c>
      <c r="J8" s="209">
        <f>'Fluxo e Duração do Passivo'!BK10</f>
        <v>-218076861.71520999</v>
      </c>
      <c r="K8" s="209">
        <f t="shared" ref="K8:K43" si="0">D8+G8+H8+I8+IF(J8&lt;0,J8*-1,0)</f>
        <v>3866407140.2241602</v>
      </c>
      <c r="L8" s="210">
        <f>'Fluxo e Duração do Passivo'!BO10</f>
        <v>1838087752.7716899</v>
      </c>
    </row>
    <row r="9" spans="1:23">
      <c r="A9" s="206">
        <f>A8+1</f>
        <v>2020</v>
      </c>
      <c r="B9" s="207">
        <f>B8+1</f>
        <v>1</v>
      </c>
      <c r="C9" s="208">
        <f>C8*1.05</f>
        <v>7298685356.7180004</v>
      </c>
      <c r="D9" s="208">
        <f>D8*1.05</f>
        <v>2982588054.8625002</v>
      </c>
      <c r="E9" s="208">
        <f>'Fluxo e Duração do Passivo'!E11</f>
        <v>1655079145.23</v>
      </c>
      <c r="F9" s="208">
        <f>'Fluxo e Duração do Passivo'!AS11+'Fluxo e Duração do Passivo'!AZ11</f>
        <v>1357437912.77122</v>
      </c>
      <c r="G9" s="208">
        <f>'Fluxo e Duração do Passivo'!M11</f>
        <v>429408618.9831</v>
      </c>
      <c r="H9" s="209">
        <f>'Fluxo e Duração do Passivo'!AO11</f>
        <v>383665673.54000002</v>
      </c>
      <c r="I9" s="209">
        <f>'Fluxo e Duração do Passivo'!AP11</f>
        <v>35547173.999925002</v>
      </c>
      <c r="J9" s="209">
        <f>'Fluxo e Duração do Passivo'!BK11</f>
        <v>-153270625.95853001</v>
      </c>
      <c r="K9" s="209">
        <f t="shared" si="0"/>
        <v>3984480147.3440552</v>
      </c>
      <c r="L9" s="210">
        <f>'Fluxo e Duração do Passivo'!BO11</f>
        <v>1792345260.3503001</v>
      </c>
    </row>
    <row r="10" spans="1:23">
      <c r="A10" s="206">
        <f t="shared" ref="A10:B25" si="1">A9+1</f>
        <v>2021</v>
      </c>
      <c r="B10" s="207">
        <f t="shared" si="1"/>
        <v>2</v>
      </c>
      <c r="C10" s="208">
        <f t="shared" ref="C10:C43" si="2">C9*1.05</f>
        <v>7663619624.5539007</v>
      </c>
      <c r="D10" s="208">
        <f t="shared" ref="D10:D43" si="3">D9*1.005</f>
        <v>2997500995.1368122</v>
      </c>
      <c r="E10" s="208">
        <f>'Fluxo e Duração do Passivo'!E12</f>
        <v>1599067452.1199999</v>
      </c>
      <c r="F10" s="208">
        <f>'Fluxo e Duração do Passivo'!AS12+'Fluxo e Duração do Passivo'!AZ12</f>
        <v>1396840662.8355401</v>
      </c>
      <c r="G10" s="208">
        <f>'Fluxo e Duração do Passivo'!M12</f>
        <v>430831082.73869997</v>
      </c>
      <c r="H10" s="209">
        <f>'Fluxo e Duração do Passivo'!AO12</f>
        <v>431432049.88999999</v>
      </c>
      <c r="I10" s="209">
        <f>'Fluxo e Duração do Passivo'!AP12</f>
        <v>37680004.439920507</v>
      </c>
      <c r="J10" s="209">
        <f>'Fluxo e Duração do Passivo'!BK12</f>
        <v>-145404041.63141</v>
      </c>
      <c r="K10" s="209">
        <f t="shared" si="0"/>
        <v>4042848173.8368425</v>
      </c>
      <c r="L10" s="210">
        <f>'Fluxo e Duração do Passivo'!BO12</f>
        <v>1751793416.4493799</v>
      </c>
    </row>
    <row r="11" spans="1:23">
      <c r="A11" s="206">
        <f t="shared" si="1"/>
        <v>2022</v>
      </c>
      <c r="B11" s="207">
        <f t="shared" si="1"/>
        <v>3</v>
      </c>
      <c r="C11" s="208">
        <f t="shared" si="2"/>
        <v>8046800605.7815962</v>
      </c>
      <c r="D11" s="208">
        <f t="shared" si="3"/>
        <v>3012488500.1124959</v>
      </c>
      <c r="E11" s="208">
        <f>'Fluxo e Duração do Passivo'!E13</f>
        <v>1530947259.1799998</v>
      </c>
      <c r="F11" s="208">
        <f>'Fluxo e Duração do Passivo'!AS13+'Fluxo e Duração do Passivo'!AZ13</f>
        <v>1445036888.4570599</v>
      </c>
      <c r="G11" s="208">
        <f>'Fluxo e Duração do Passivo'!M13</f>
        <v>427743126.07020003</v>
      </c>
      <c r="H11" s="209">
        <f>'Fluxo e Duração do Passivo'!AO13</f>
        <v>500418034.67000002</v>
      </c>
      <c r="I11" s="209">
        <f>'Fluxo e Duração do Passivo'!AP13</f>
        <v>39940804.706315741</v>
      </c>
      <c r="J11" s="209">
        <f>'Fluxo e Duração do Passivo'!BK13</f>
        <v>-129912043.8929</v>
      </c>
      <c r="K11" s="209">
        <f t="shared" si="0"/>
        <v>4110502509.4519114</v>
      </c>
      <c r="L11" s="210">
        <f>'Fluxo e Duração do Passivo'!BO13</f>
        <v>1724361287.4187701</v>
      </c>
    </row>
    <row r="12" spans="1:23">
      <c r="A12" s="206">
        <f t="shared" si="1"/>
        <v>2023</v>
      </c>
      <c r="B12" s="207">
        <f t="shared" si="1"/>
        <v>4</v>
      </c>
      <c r="C12" s="208">
        <f t="shared" si="2"/>
        <v>8449140636.0706768</v>
      </c>
      <c r="D12" s="208">
        <f t="shared" si="3"/>
        <v>3027550942.6130581</v>
      </c>
      <c r="E12" s="208">
        <f>'Fluxo e Duração do Passivo'!E14</f>
        <v>1453327355.3999999</v>
      </c>
      <c r="F12" s="208">
        <f>'Fluxo e Duração do Passivo'!AS14+'Fluxo e Duração do Passivo'!AZ14</f>
        <v>1498152312.5636001</v>
      </c>
      <c r="G12" s="208">
        <f>'Fluxo e Duração do Passivo'!M14</f>
        <v>406004798.06580001</v>
      </c>
      <c r="H12" s="209">
        <f>'Fluxo e Duração do Passivo'!AO14</f>
        <v>577132119.38999999</v>
      </c>
      <c r="I12" s="209">
        <f>'Fluxo e Duração do Passivo'!AP14</f>
        <v>42337252.98869469</v>
      </c>
      <c r="J12" s="209">
        <f>'Fluxo e Duração do Passivo'!BK14</f>
        <v>-130526572.59460001</v>
      </c>
      <c r="K12" s="209">
        <f t="shared" si="0"/>
        <v>4183551685.652153</v>
      </c>
      <c r="L12" s="210">
        <f>'Fluxo e Duração do Passivo'!BO14</f>
        <v>1694709850.13817</v>
      </c>
    </row>
    <row r="13" spans="1:23">
      <c r="A13" s="206">
        <f t="shared" si="1"/>
        <v>2024</v>
      </c>
      <c r="B13" s="207">
        <f t="shared" si="1"/>
        <v>5</v>
      </c>
      <c r="C13" s="208">
        <f t="shared" si="2"/>
        <v>8871597667.8742104</v>
      </c>
      <c r="D13" s="208">
        <f t="shared" si="3"/>
        <v>3042688697.3261232</v>
      </c>
      <c r="E13" s="208">
        <f>'Fluxo e Duração do Passivo'!E15</f>
        <v>1367779804.46</v>
      </c>
      <c r="F13" s="208">
        <f>'Fluxo e Duração do Passivo'!AS15+'Fluxo e Duração do Passivo'!AZ15</f>
        <v>1553848744.9784</v>
      </c>
      <c r="G13" s="208">
        <f>'Fluxo e Duração do Passivo'!M15</f>
        <v>382046981.50129998</v>
      </c>
      <c r="H13" s="209">
        <f>'Fluxo e Duração do Passivo'!AO15</f>
        <v>657988329.30999994</v>
      </c>
      <c r="I13" s="209">
        <f>'Fluxo e Duração do Passivo'!AP15</f>
        <v>44877488.168016374</v>
      </c>
      <c r="J13" s="209">
        <f>'Fluxo e Duração do Passivo'!BK15</f>
        <v>-132183812.98963</v>
      </c>
      <c r="K13" s="209">
        <f t="shared" si="0"/>
        <v>4259785309.2950697</v>
      </c>
      <c r="L13" s="210">
        <f>'Fluxo e Duração do Passivo'!BO15</f>
        <v>1661666563.3816199</v>
      </c>
    </row>
    <row r="14" spans="1:23">
      <c r="A14" s="206">
        <f t="shared" si="1"/>
        <v>2025</v>
      </c>
      <c r="B14" s="207">
        <f t="shared" si="1"/>
        <v>6</v>
      </c>
      <c r="C14" s="208">
        <f t="shared" si="2"/>
        <v>9315177551.2679214</v>
      </c>
      <c r="D14" s="208">
        <f t="shared" si="3"/>
        <v>3057902140.8127537</v>
      </c>
      <c r="E14" s="208">
        <f>'Fluxo e Duração do Passivo'!E16</f>
        <v>1288460445.9200001</v>
      </c>
      <c r="F14" s="208">
        <f>'Fluxo e Duração do Passivo'!AS16+'Fluxo e Duração do Passivo'!AZ16</f>
        <v>1601817328.97032</v>
      </c>
      <c r="G14" s="208">
        <f>'Fluxo e Duração do Passivo'!M16</f>
        <v>359833345.21310002</v>
      </c>
      <c r="H14" s="209">
        <f>'Fluxo e Duração do Passivo'!AO16</f>
        <v>747869535.10000002</v>
      </c>
      <c r="I14" s="209">
        <f>'Fluxo e Duração do Passivo'!AP16</f>
        <v>47570137.458097354</v>
      </c>
      <c r="J14" s="209">
        <f>'Fluxo e Duração do Passivo'!BK16</f>
        <v>-115106118.22590999</v>
      </c>
      <c r="K14" s="209">
        <f t="shared" si="0"/>
        <v>4328281276.8098612</v>
      </c>
      <c r="L14" s="210">
        <f>'Fluxo e Duração do Passivo'!BO16</f>
        <v>1643767939.1135299</v>
      </c>
    </row>
    <row r="15" spans="1:23">
      <c r="A15" s="206">
        <f t="shared" si="1"/>
        <v>2026</v>
      </c>
      <c r="B15" s="207">
        <f t="shared" si="1"/>
        <v>7</v>
      </c>
      <c r="C15" s="208">
        <f t="shared" si="2"/>
        <v>9780936428.8313179</v>
      </c>
      <c r="D15" s="208">
        <f t="shared" si="3"/>
        <v>3073191651.5168171</v>
      </c>
      <c r="E15" s="208">
        <f>'Fluxo e Duração do Passivo'!E17</f>
        <v>1206686903.46</v>
      </c>
      <c r="F15" s="208">
        <f>'Fluxo e Duração do Passivo'!AS17+'Fluxo e Duração do Passivo'!AZ17</f>
        <v>1646262897.4653599</v>
      </c>
      <c r="G15" s="208">
        <f>'Fluxo e Duração do Passivo'!M17</f>
        <v>336932859.68790001</v>
      </c>
      <c r="H15" s="209">
        <f>'Fluxo e Duração do Passivo'!AO17</f>
        <v>837613879.30999994</v>
      </c>
      <c r="I15" s="209">
        <f>'Fluxo e Duração do Passivo'!AP17</f>
        <v>50424345.7055832</v>
      </c>
      <c r="J15" s="209">
        <f>'Fluxo e Duração do Passivo'!BK17</f>
        <v>-96185243.442420006</v>
      </c>
      <c r="K15" s="209">
        <f t="shared" si="0"/>
        <v>4394347979.6627207</v>
      </c>
      <c r="L15" s="210">
        <f>'Fluxo e Duração do Passivo'!BO17</f>
        <v>1643743120.1092501</v>
      </c>
    </row>
    <row r="16" spans="1:23">
      <c r="A16" s="206">
        <f t="shared" si="1"/>
        <v>2027</v>
      </c>
      <c r="B16" s="207">
        <f t="shared" si="1"/>
        <v>8</v>
      </c>
      <c r="C16" s="208">
        <f t="shared" si="2"/>
        <v>10269983250.272884</v>
      </c>
      <c r="D16" s="208">
        <f t="shared" si="3"/>
        <v>3088557609.7744007</v>
      </c>
      <c r="E16" s="208">
        <f>'Fluxo e Duração do Passivo'!E18</f>
        <v>1128015258.8899999</v>
      </c>
      <c r="F16" s="208">
        <f>'Fluxo e Duração do Passivo'!AS18+'Fluxo e Duração do Passivo'!AZ18</f>
        <v>1684224432.9744501</v>
      </c>
      <c r="G16" s="208">
        <f>'Fluxo e Duração do Passivo'!M18</f>
        <v>314902161.28609997</v>
      </c>
      <c r="H16" s="209">
        <f>'Fluxo e Duração do Passivo'!AO18</f>
        <v>926400950.50999999</v>
      </c>
      <c r="I16" s="209">
        <f>'Fluxo e Duração do Passivo'!AP18</f>
        <v>53449806.447918192</v>
      </c>
      <c r="J16" s="209">
        <f>'Fluxo e Duração do Passivo'!BK18</f>
        <v>-70948980.703779995</v>
      </c>
      <c r="K16" s="209">
        <f t="shared" si="0"/>
        <v>4454259508.7221985</v>
      </c>
      <c r="L16" s="210">
        <f>'Fluxo e Duração do Passivo'!BO18</f>
        <v>1668953111.93186</v>
      </c>
    </row>
    <row r="17" spans="1:12">
      <c r="A17" s="206">
        <f t="shared" si="1"/>
        <v>2028</v>
      </c>
      <c r="B17" s="207">
        <f t="shared" si="1"/>
        <v>9</v>
      </c>
      <c r="C17" s="208">
        <f t="shared" si="2"/>
        <v>10783482412.78653</v>
      </c>
      <c r="D17" s="208">
        <f t="shared" si="3"/>
        <v>3104000397.8232722</v>
      </c>
      <c r="E17" s="208">
        <f>'Fluxo e Duração do Passivo'!E19</f>
        <v>1055558438.35</v>
      </c>
      <c r="F17" s="208">
        <f>'Fluxo e Duração do Passivo'!AS19+'Fluxo e Duração do Passivo'!AZ19</f>
        <v>1712274519.69169</v>
      </c>
      <c r="G17" s="208">
        <f>'Fluxo e Duração do Passivo'!M19</f>
        <v>294615973.07800001</v>
      </c>
      <c r="H17" s="209">
        <f>'Fluxo e Duração do Passivo'!AO19</f>
        <v>1001624707.7</v>
      </c>
      <c r="I17" s="209">
        <f>'Fluxo e Duração do Passivo'!AP19</f>
        <v>56656794.834793285</v>
      </c>
      <c r="J17" s="209">
        <f>'Fluxo e Duração do Passivo'!BK19</f>
        <v>-47556686.402570002</v>
      </c>
      <c r="K17" s="209">
        <f t="shared" si="0"/>
        <v>4504454559.8386354</v>
      </c>
      <c r="L17" s="210">
        <f>'Fluxo e Duração do Passivo'!BO19</f>
        <v>1719030182.5773001</v>
      </c>
    </row>
    <row r="18" spans="1:12">
      <c r="A18" s="206">
        <f t="shared" si="1"/>
        <v>2029</v>
      </c>
      <c r="B18" s="207">
        <f t="shared" si="1"/>
        <v>10</v>
      </c>
      <c r="C18" s="208">
        <f t="shared" si="2"/>
        <v>11322656533.425856</v>
      </c>
      <c r="D18" s="208">
        <f t="shared" si="3"/>
        <v>3119520399.8123884</v>
      </c>
      <c r="E18" s="208">
        <f>'Fluxo e Duração do Passivo'!E20</f>
        <v>976553676.35000002</v>
      </c>
      <c r="F18" s="208">
        <f>'Fluxo e Duração do Passivo'!AS20+'Fluxo e Duração do Passivo'!AZ20</f>
        <v>1743680194.4675002</v>
      </c>
      <c r="G18" s="208">
        <f>'Fluxo e Duração do Passivo'!M20</f>
        <v>272525712.0632</v>
      </c>
      <c r="H18" s="209">
        <f>'Fluxo e Duração do Passivo'!AO20</f>
        <v>1079150460.0699999</v>
      </c>
      <c r="I18" s="209">
        <f>'Fluxo e Duração do Passivo'!AP20</f>
        <v>60056202.524880886</v>
      </c>
      <c r="J18" s="209">
        <f>'Fluxo e Duração do Passivo'!BK20</f>
        <v>-27305134.670510001</v>
      </c>
      <c r="K18" s="209">
        <f t="shared" si="0"/>
        <v>4558557909.1409788</v>
      </c>
      <c r="L18" s="210">
        <f>'Fluxo e Duração do Passivo'!BO20</f>
        <v>1792288313.5875599</v>
      </c>
    </row>
    <row r="19" spans="1:12">
      <c r="A19" s="206">
        <f t="shared" si="1"/>
        <v>2030</v>
      </c>
      <c r="B19" s="207">
        <f t="shared" si="1"/>
        <v>11</v>
      </c>
      <c r="C19" s="208">
        <f t="shared" si="2"/>
        <v>11888789360.097149</v>
      </c>
      <c r="D19" s="208">
        <f t="shared" si="3"/>
        <v>3135118001.81145</v>
      </c>
      <c r="E19" s="208">
        <f>'Fluxo e Duração do Passivo'!E21</f>
        <v>899547760.96999991</v>
      </c>
      <c r="F19" s="208">
        <f>'Fluxo e Duração do Passivo'!AS21+'Fluxo e Duração do Passivo'!AZ21</f>
        <v>1768861548.50319</v>
      </c>
      <c r="G19" s="208">
        <f>'Fluxo e Duração do Passivo'!M21</f>
        <v>250972902.78650001</v>
      </c>
      <c r="H19" s="209">
        <f>'Fluxo e Duração do Passivo'!AO21</f>
        <v>1141065185.3900001</v>
      </c>
      <c r="I19" s="209">
        <f>'Fluxo e Duração do Passivo'!AP21</f>
        <v>63659574.67637375</v>
      </c>
      <c r="J19" s="209">
        <f>'Fluxo e Duração do Passivo'!BK21</f>
        <v>-16444418.032430001</v>
      </c>
      <c r="K19" s="209">
        <f t="shared" si="0"/>
        <v>4607260082.6967535</v>
      </c>
      <c r="L19" s="210">
        <f>'Fluxo e Duração do Passivo'!BO21</f>
        <v>1880692761.9000001</v>
      </c>
    </row>
    <row r="20" spans="1:12">
      <c r="A20" s="206">
        <f t="shared" si="1"/>
        <v>2031</v>
      </c>
      <c r="B20" s="207">
        <f t="shared" si="1"/>
        <v>12</v>
      </c>
      <c r="C20" s="208">
        <f t="shared" si="2"/>
        <v>12483228828.102007</v>
      </c>
      <c r="D20" s="208">
        <f t="shared" si="3"/>
        <v>3150793591.820507</v>
      </c>
      <c r="E20" s="208">
        <f>'Fluxo e Duração do Passivo'!E22</f>
        <v>829622726.38999999</v>
      </c>
      <c r="F20" s="208">
        <f>'Fluxo e Duração do Passivo'!AS22+'Fluxo e Duração do Passivo'!AZ22</f>
        <v>1775966959.8626699</v>
      </c>
      <c r="G20" s="208">
        <f>'Fluxo e Duração do Passivo'!M22</f>
        <v>231400411.54370001</v>
      </c>
      <c r="H20" s="209">
        <f>'Fluxo e Duração do Passivo'!AO22</f>
        <v>1157316474.3099999</v>
      </c>
      <c r="I20" s="209">
        <f>'Fluxo e Duração do Passivo'!AP22</f>
        <v>67479149.156956181</v>
      </c>
      <c r="J20" s="209">
        <f>'Fluxo e Duração do Passivo'!BK22</f>
        <v>-32061223.281089999</v>
      </c>
      <c r="K20" s="209">
        <f t="shared" si="0"/>
        <v>4639050850.1122532</v>
      </c>
      <c r="L20" s="210">
        <f>'Fluxo e Duração do Passivo'!BO22</f>
        <v>1958652065.1900599</v>
      </c>
    </row>
    <row r="21" spans="1:12">
      <c r="A21" s="206">
        <f t="shared" si="1"/>
        <v>2032</v>
      </c>
      <c r="B21" s="207">
        <f t="shared" si="1"/>
        <v>13</v>
      </c>
      <c r="C21" s="208">
        <f t="shared" si="2"/>
        <v>13107390269.507109</v>
      </c>
      <c r="D21" s="208">
        <f t="shared" si="3"/>
        <v>3166547559.7796092</v>
      </c>
      <c r="E21" s="208">
        <f>'Fluxo e Duração do Passivo'!E23</f>
        <v>773900112.34000003</v>
      </c>
      <c r="F21" s="208">
        <f>'Fluxo e Duração do Passivo'!AS23+'Fluxo e Duração do Passivo'!AZ23</f>
        <v>1770870303.61832</v>
      </c>
      <c r="G21" s="208">
        <f>'Fluxo e Duração do Passivo'!M23</f>
        <v>215804428.5625</v>
      </c>
      <c r="H21" s="209">
        <f>'Fluxo e Duração do Passivo'!AO23</f>
        <v>1168889639.0599999</v>
      </c>
      <c r="I21" s="209">
        <f>'Fluxo e Duração do Passivo'!AP23</f>
        <v>71527898.106373549</v>
      </c>
      <c r="J21" s="209">
        <f>'Fluxo e Duração do Passivo'!BK23</f>
        <v>-34782639.227069996</v>
      </c>
      <c r="K21" s="209">
        <f t="shared" si="0"/>
        <v>4657552164.7355528</v>
      </c>
      <c r="L21" s="210">
        <f>'Fluxo e Duração do Passivo'!BO23</f>
        <v>2038450571.7766099</v>
      </c>
    </row>
    <row r="22" spans="1:12">
      <c r="A22" s="206">
        <f t="shared" si="1"/>
        <v>2033</v>
      </c>
      <c r="B22" s="207">
        <f t="shared" si="1"/>
        <v>14</v>
      </c>
      <c r="C22" s="208">
        <f t="shared" si="2"/>
        <v>13762759782.982464</v>
      </c>
      <c r="D22" s="208">
        <f t="shared" si="3"/>
        <v>3182380297.5785069</v>
      </c>
      <c r="E22" s="208">
        <f>'Fluxo e Duração do Passivo'!E24</f>
        <v>698083209.54000008</v>
      </c>
      <c r="F22" s="208">
        <f>'Fluxo e Duração do Passivo'!AS24+'Fluxo e Duração do Passivo'!AZ24</f>
        <v>1772128486.41272</v>
      </c>
      <c r="G22" s="208">
        <f>'Fluxo e Duração do Passivo'!M24</f>
        <v>194587565.91960001</v>
      </c>
      <c r="H22" s="209">
        <f>'Fluxo e Duração do Passivo'!AO24</f>
        <v>1180578535.45</v>
      </c>
      <c r="I22" s="209">
        <f>'Fluxo e Duração do Passivo'!AP24</f>
        <v>50546381.328503981</v>
      </c>
      <c r="J22" s="209">
        <f>'Fluxo e Duração do Passivo'!BK24</f>
        <v>-76454571.686240003</v>
      </c>
      <c r="K22" s="209">
        <f t="shared" si="0"/>
        <v>4684547351.9628506</v>
      </c>
      <c r="L22" s="210">
        <f>'Fluxo e Duração do Passivo'!BO24</f>
        <v>2081245358.5393</v>
      </c>
    </row>
    <row r="23" spans="1:12">
      <c r="A23" s="206">
        <f t="shared" si="1"/>
        <v>2034</v>
      </c>
      <c r="B23" s="207">
        <f t="shared" si="1"/>
        <v>15</v>
      </c>
      <c r="C23" s="208">
        <f t="shared" si="2"/>
        <v>14450897772.131588</v>
      </c>
      <c r="D23" s="208">
        <f t="shared" si="3"/>
        <v>3198292199.0663991</v>
      </c>
      <c r="E23" s="208">
        <f>'Fluxo e Duração do Passivo'!E25</f>
        <v>633085866.58999991</v>
      </c>
      <c r="F23" s="208">
        <f>'Fluxo e Duração do Passivo'!AS25+'Fluxo e Duração do Passivo'!AZ25</f>
        <v>1760560235.25842</v>
      </c>
      <c r="G23" s="208">
        <f>'Fluxo e Duração do Passivo'!M25</f>
        <v>176397057.79789999</v>
      </c>
      <c r="H23" s="209">
        <f>'Fluxo e Duração do Passivo'!AO25</f>
        <v>1192384320.8</v>
      </c>
      <c r="I23" s="209">
        <f>'Fluxo e Duração do Passivo'!AP25</f>
        <v>0</v>
      </c>
      <c r="J23" s="209">
        <f>'Fluxo e Duração do Passivo'!BK25</f>
        <v>-131907136.58397</v>
      </c>
      <c r="K23" s="209">
        <f t="shared" si="0"/>
        <v>4698980714.2482691</v>
      </c>
      <c r="L23" s="210">
        <f>'Fluxo e Duração do Passivo'!BO25</f>
        <v>2071091075.4298799</v>
      </c>
    </row>
    <row r="24" spans="1:12">
      <c r="A24" s="206">
        <f t="shared" si="1"/>
        <v>2035</v>
      </c>
      <c r="B24" s="207">
        <f t="shared" si="1"/>
        <v>16</v>
      </c>
      <c r="C24" s="208">
        <f t="shared" si="2"/>
        <v>15173442660.738169</v>
      </c>
      <c r="D24" s="208">
        <f t="shared" si="3"/>
        <v>3214283660.0617309</v>
      </c>
      <c r="E24" s="208">
        <f>'Fluxo e Duração do Passivo'!E26</f>
        <v>587190489.48000002</v>
      </c>
      <c r="F24" s="208">
        <f>'Fluxo e Duração do Passivo'!AS26+'Fluxo e Duração do Passivo'!AZ26</f>
        <v>1736063901.9141598</v>
      </c>
      <c r="G24" s="208">
        <f>'Fluxo e Duração do Passivo'!M26</f>
        <v>163558094.37419999</v>
      </c>
      <c r="H24" s="209">
        <f>'Fluxo e Duração do Passivo'!AO26</f>
        <v>1204308164.01</v>
      </c>
      <c r="I24" s="209">
        <f>'Fluxo e Duração do Passivo'!AP26</f>
        <v>0</v>
      </c>
      <c r="J24" s="209">
        <f>'Fluxo e Duração do Passivo'!BK26</f>
        <v>-116995849.28628001</v>
      </c>
      <c r="K24" s="209">
        <f t="shared" si="0"/>
        <v>4699145767.7322102</v>
      </c>
      <c r="L24" s="210">
        <f>'Fluxo e Duração do Passivo'!BO26</f>
        <v>2075254054.0562501</v>
      </c>
    </row>
    <row r="25" spans="1:12">
      <c r="A25" s="206">
        <f t="shared" si="1"/>
        <v>2036</v>
      </c>
      <c r="B25" s="207">
        <f t="shared" si="1"/>
        <v>17</v>
      </c>
      <c r="C25" s="208">
        <f t="shared" si="2"/>
        <v>15932114793.775078</v>
      </c>
      <c r="D25" s="208">
        <f t="shared" si="3"/>
        <v>3230355078.3620391</v>
      </c>
      <c r="E25" s="208">
        <f>'Fluxo e Duração do Passivo'!E27</f>
        <v>534580879.75999999</v>
      </c>
      <c r="F25" s="208">
        <f>'Fluxo e Duração do Passivo'!AS27+'Fluxo e Duração do Passivo'!AZ27</f>
        <v>1710212056.1252999</v>
      </c>
      <c r="G25" s="208">
        <f>'Fluxo e Duração do Passivo'!M27</f>
        <v>148846655.03600001</v>
      </c>
      <c r="H25" s="209">
        <f>'Fluxo e Duração do Passivo'!AO27</f>
        <v>1216351245.6500001</v>
      </c>
      <c r="I25" s="209">
        <f>'Fluxo e Duração do Passivo'!AP27</f>
        <v>0</v>
      </c>
      <c r="J25" s="209">
        <f>'Fluxo e Duração do Passivo'!BK27</f>
        <v>-103572481.01681</v>
      </c>
      <c r="K25" s="209">
        <f t="shared" si="0"/>
        <v>4699125460.0648489</v>
      </c>
      <c r="L25" s="210">
        <f>'Fluxo e Duração do Passivo'!BO27</f>
        <v>2093083935.20173</v>
      </c>
    </row>
    <row r="26" spans="1:12">
      <c r="A26" s="206">
        <f t="shared" ref="A26:B41" si="4">A25+1</f>
        <v>2037</v>
      </c>
      <c r="B26" s="207">
        <f t="shared" si="4"/>
        <v>18</v>
      </c>
      <c r="C26" s="208">
        <f t="shared" si="2"/>
        <v>16728720533.463833</v>
      </c>
      <c r="D26" s="208">
        <f t="shared" si="3"/>
        <v>3246506853.753849</v>
      </c>
      <c r="E26" s="208">
        <f>'Fluxo e Duração do Passivo'!E28</f>
        <v>486760115.46999997</v>
      </c>
      <c r="F26" s="208">
        <f>'Fluxo e Duração do Passivo'!AS28+'Fluxo e Duração do Passivo'!AZ28</f>
        <v>1678613974.0070801</v>
      </c>
      <c r="G26" s="208">
        <f>'Fluxo e Duração do Passivo'!M28</f>
        <v>135478912.13710001</v>
      </c>
      <c r="H26" s="209">
        <f>'Fluxo e Duração do Passivo'!AO28</f>
        <v>1228514758.1099999</v>
      </c>
      <c r="I26" s="209">
        <f>'Fluxo e Duração do Passivo'!AP28</f>
        <v>0</v>
      </c>
      <c r="J26" s="209">
        <f>'Fluxo e Duração do Passivo'!BK28</f>
        <v>-82799019.515000001</v>
      </c>
      <c r="K26" s="209">
        <f t="shared" si="0"/>
        <v>4693299543.5159492</v>
      </c>
      <c r="L26" s="210">
        <f>'Fluxo e Duração do Passivo'!BO28</f>
        <v>2132730325.8960299</v>
      </c>
    </row>
    <row r="27" spans="1:12">
      <c r="A27" s="206">
        <f t="shared" si="4"/>
        <v>2038</v>
      </c>
      <c r="B27" s="207">
        <f t="shared" si="4"/>
        <v>19</v>
      </c>
      <c r="C27" s="208">
        <f t="shared" si="2"/>
        <v>17565156560.137024</v>
      </c>
      <c r="D27" s="208">
        <f t="shared" si="3"/>
        <v>3262739388.0226178</v>
      </c>
      <c r="E27" s="208">
        <f>'Fluxo e Duração do Passivo'!E29</f>
        <v>431024088.55000001</v>
      </c>
      <c r="F27" s="208">
        <f>'Fluxo e Duração do Passivo'!AS29+'Fluxo e Duração do Passivo'!AZ29</f>
        <v>1647262198.84271</v>
      </c>
      <c r="G27" s="208">
        <f>'Fluxo e Duração do Passivo'!M29</f>
        <v>119904202.33</v>
      </c>
      <c r="H27" s="209">
        <f>'Fluxo e Duração do Passivo'!AO29</f>
        <v>1240799905.6800001</v>
      </c>
      <c r="I27" s="209">
        <f>'Fluxo e Duração do Passivo'!AP29</f>
        <v>0</v>
      </c>
      <c r="J27" s="209">
        <f>'Fluxo e Duração do Passivo'!BK29</f>
        <v>-65348841.329319999</v>
      </c>
      <c r="K27" s="209">
        <f t="shared" si="0"/>
        <v>4688792337.3619375</v>
      </c>
      <c r="L27" s="210">
        <f>'Fluxo e Duração do Passivo'!BO29</f>
        <v>2192146208.6316299</v>
      </c>
    </row>
    <row r="28" spans="1:12">
      <c r="A28" s="206">
        <f t="shared" si="4"/>
        <v>2039</v>
      </c>
      <c r="B28" s="207">
        <f t="shared" si="4"/>
        <v>20</v>
      </c>
      <c r="C28" s="208">
        <f t="shared" si="2"/>
        <v>18443414388.143875</v>
      </c>
      <c r="D28" s="208">
        <f t="shared" si="3"/>
        <v>3279053084.9627304</v>
      </c>
      <c r="E28" s="208">
        <f>'Fluxo e Duração do Passivo'!E30</f>
        <v>360108765.09999996</v>
      </c>
      <c r="F28" s="208">
        <f>'Fluxo e Duração do Passivo'!AS30+'Fluxo e Duração do Passivo'!AZ30</f>
        <v>1621567155.19208</v>
      </c>
      <c r="G28" s="208">
        <f>'Fluxo e Duração do Passivo'!M30</f>
        <v>100078143.0499</v>
      </c>
      <c r="H28" s="209">
        <f>'Fluxo e Duração do Passivo'!AO30</f>
        <v>1253207904.74</v>
      </c>
      <c r="I28" s="209">
        <f>'Fluxo e Duração do Passivo'!AP30</f>
        <v>0</v>
      </c>
      <c r="J28" s="209">
        <f>'Fluxo e Duração do Passivo'!BK30</f>
        <v>-59139972.28802</v>
      </c>
      <c r="K28" s="209">
        <f t="shared" si="0"/>
        <v>4691479105.0406504</v>
      </c>
      <c r="L28" s="210">
        <f>'Fluxo e Duração do Passivo'!BO30</f>
        <v>2261246789.5485601</v>
      </c>
    </row>
    <row r="29" spans="1:12">
      <c r="A29" s="206">
        <f t="shared" si="4"/>
        <v>2040</v>
      </c>
      <c r="B29" s="207">
        <f t="shared" si="4"/>
        <v>21</v>
      </c>
      <c r="C29" s="208">
        <f t="shared" si="2"/>
        <v>19365585107.551071</v>
      </c>
      <c r="D29" s="208">
        <f t="shared" si="3"/>
        <v>3295448350.3875437</v>
      </c>
      <c r="E29" s="208">
        <f>'Fluxo e Duração do Passivo'!E31</f>
        <v>308642388.59999996</v>
      </c>
      <c r="F29" s="208">
        <f>'Fluxo e Duração do Passivo'!AS31+'Fluxo e Duração do Passivo'!AZ31</f>
        <v>1583735558.1119699</v>
      </c>
      <c r="G29" s="208">
        <f>'Fluxo e Duração do Passivo'!M31</f>
        <v>85711745.342700005</v>
      </c>
      <c r="H29" s="209">
        <f>'Fluxo e Duração do Passivo'!AO31</f>
        <v>1265739983.79</v>
      </c>
      <c r="I29" s="209">
        <f>'Fluxo e Duração do Passivo'!AP31</f>
        <v>0</v>
      </c>
      <c r="J29" s="209">
        <f>'Fluxo e Duração do Passivo'!BK31</f>
        <v>-33695209.177369997</v>
      </c>
      <c r="K29" s="209">
        <f t="shared" si="0"/>
        <v>4680595288.6976137</v>
      </c>
      <c r="L29" s="210">
        <f>'Fluxo e Duração do Passivo'!BO31</f>
        <v>2359834517.5597801</v>
      </c>
    </row>
    <row r="30" spans="1:12">
      <c r="A30" s="206">
        <f t="shared" si="4"/>
        <v>2041</v>
      </c>
      <c r="B30" s="207">
        <f t="shared" si="4"/>
        <v>22</v>
      </c>
      <c r="C30" s="208">
        <f t="shared" si="2"/>
        <v>20333864362.928627</v>
      </c>
      <c r="D30" s="208">
        <f t="shared" si="3"/>
        <v>3311925592.1394811</v>
      </c>
      <c r="E30" s="208">
        <f>'Fluxo e Duração do Passivo'!E32</f>
        <v>248517276.89999998</v>
      </c>
      <c r="F30" s="208">
        <f>'Fluxo e Duração do Passivo'!AS32+'Fluxo e Duração do Passivo'!AZ32</f>
        <v>1548956564.52561</v>
      </c>
      <c r="G30" s="208">
        <f>'Fluxo e Duração do Passivo'!M32</f>
        <v>68917613.773499995</v>
      </c>
      <c r="H30" s="209">
        <f>'Fluxo e Duração do Passivo'!AO32</f>
        <v>1278397383.6300001</v>
      </c>
      <c r="I30" s="209">
        <f>'Fluxo e Duração do Passivo'!AP32</f>
        <v>0</v>
      </c>
      <c r="J30" s="209">
        <f>'Fluxo e Duração do Passivo'!BK32</f>
        <v>-14428121.651249999</v>
      </c>
      <c r="K30" s="209">
        <f t="shared" si="0"/>
        <v>4673668711.194231</v>
      </c>
      <c r="L30" s="210">
        <f>'Fluxo e Duração do Passivo'!BO32</f>
        <v>2483456715.18578</v>
      </c>
    </row>
    <row r="31" spans="1:12">
      <c r="A31" s="206">
        <f t="shared" si="4"/>
        <v>2042</v>
      </c>
      <c r="B31" s="207">
        <f t="shared" si="4"/>
        <v>23</v>
      </c>
      <c r="C31" s="208">
        <f t="shared" si="2"/>
        <v>21350557581.075058</v>
      </c>
      <c r="D31" s="208">
        <f t="shared" si="3"/>
        <v>3328485220.1001782</v>
      </c>
      <c r="E31" s="208">
        <f>'Fluxo e Duração do Passivo'!E33</f>
        <v>207200844.94</v>
      </c>
      <c r="F31" s="208">
        <f>'Fluxo e Duração do Passivo'!AS33+'Fluxo e Duração do Passivo'!AZ33</f>
        <v>1503166508.55229</v>
      </c>
      <c r="G31" s="208">
        <f>'Fluxo e Duração do Passivo'!M33</f>
        <v>57390180.903099999</v>
      </c>
      <c r="H31" s="209">
        <f>'Fluxo e Duração do Passivo'!AO33</f>
        <v>1291181357.46</v>
      </c>
      <c r="I31" s="209">
        <f>'Fluxo e Duração do Passivo'!AP33</f>
        <v>0</v>
      </c>
      <c r="J31" s="209">
        <f>'Fluxo e Duração do Passivo'!BK33</f>
        <v>22791380.89353</v>
      </c>
      <c r="K31" s="209">
        <f t="shared" si="0"/>
        <v>4677056758.4632778</v>
      </c>
      <c r="L31" s="210">
        <f>'Fluxo e Duração do Passivo'!BO33</f>
        <v>2651530313.9176798</v>
      </c>
    </row>
    <row r="32" spans="1:12">
      <c r="A32" s="206">
        <f t="shared" si="4"/>
        <v>2043</v>
      </c>
      <c r="B32" s="207">
        <f t="shared" si="4"/>
        <v>24</v>
      </c>
      <c r="C32" s="208">
        <f t="shared" si="2"/>
        <v>22418085460.128811</v>
      </c>
      <c r="D32" s="208">
        <f t="shared" si="3"/>
        <v>3345127646.2006788</v>
      </c>
      <c r="E32" s="208">
        <f>'Fluxo e Duração do Passivo'!E34</f>
        <v>165400339.56999999</v>
      </c>
      <c r="F32" s="208">
        <f>'Fluxo e Duração do Passivo'!AS34+'Fluxo e Duração do Passivo'!AZ34</f>
        <v>1456877903.23979</v>
      </c>
      <c r="G32" s="208">
        <f>'Fluxo e Duração do Passivo'!M34</f>
        <v>45783945.549999997</v>
      </c>
      <c r="H32" s="209">
        <f>'Fluxo e Duração do Passivo'!AO34</f>
        <v>1304093171.04</v>
      </c>
      <c r="I32" s="209">
        <f>'Fluxo e Duração do Passivo'!AP34</f>
        <v>0</v>
      </c>
      <c r="J32" s="209">
        <f>'Fluxo e Duração do Passivo'!BK34</f>
        <v>60429012.295560002</v>
      </c>
      <c r="K32" s="209">
        <f t="shared" si="0"/>
        <v>4695004762.790679</v>
      </c>
      <c r="L32" s="210">
        <f>'Fluxo e Duração do Passivo'!BO34</f>
        <v>2867073849.5774202</v>
      </c>
    </row>
    <row r="33" spans="1:13">
      <c r="A33" s="206">
        <f t="shared" si="4"/>
        <v>2044</v>
      </c>
      <c r="B33" s="207">
        <f t="shared" si="4"/>
        <v>25</v>
      </c>
      <c r="C33" s="208">
        <f t="shared" si="2"/>
        <v>23538989733.135254</v>
      </c>
      <c r="D33" s="208">
        <f t="shared" si="3"/>
        <v>3361853284.4316816</v>
      </c>
      <c r="E33" s="208">
        <f>'Fluxo e Duração do Passivo'!E35</f>
        <v>115560265.12</v>
      </c>
      <c r="F33" s="208">
        <f>'Fluxo e Duração do Passivo'!AS35+'Fluxo e Duração do Passivo'!AZ35</f>
        <v>1413881433.0646501</v>
      </c>
      <c r="G33" s="208">
        <f>'Fluxo e Duração do Passivo'!M35</f>
        <v>31975806.204100002</v>
      </c>
      <c r="H33" s="209">
        <f>'Fluxo e Duração do Passivo'!AO35</f>
        <v>1317134102.75</v>
      </c>
      <c r="I33" s="209">
        <f>'Fluxo e Duração do Passivo'!AP35</f>
        <v>0</v>
      </c>
      <c r="J33" s="209">
        <f>'Fluxo e Duração do Passivo'!BK35</f>
        <v>91972226.781299993</v>
      </c>
      <c r="K33" s="209">
        <f t="shared" si="0"/>
        <v>4710963193.3857822</v>
      </c>
      <c r="L33" s="210">
        <f>'Fluxo e Duração do Passivo'!BO35</f>
        <v>3126769896.559</v>
      </c>
    </row>
    <row r="34" spans="1:13">
      <c r="A34" s="206">
        <f t="shared" si="4"/>
        <v>2045</v>
      </c>
      <c r="B34" s="207">
        <f t="shared" si="4"/>
        <v>26</v>
      </c>
      <c r="C34" s="208">
        <f t="shared" si="2"/>
        <v>24715939219.792019</v>
      </c>
      <c r="D34" s="208">
        <f t="shared" si="3"/>
        <v>3378662550.8538399</v>
      </c>
      <c r="E34" s="208">
        <f>'Fluxo e Duração do Passivo'!E36</f>
        <v>88114217.989999995</v>
      </c>
      <c r="F34" s="208">
        <f>'Fluxo e Duração do Passivo'!AS36+'Fluxo e Duração do Passivo'!AZ36</f>
        <v>1359116554.42296</v>
      </c>
      <c r="G34" s="208">
        <f>'Fluxo e Duração do Passivo'!M36</f>
        <v>24335908.4375</v>
      </c>
      <c r="H34" s="209">
        <f>'Fluxo e Duração do Passivo'!AO36</f>
        <v>1330305443.77</v>
      </c>
      <c r="I34" s="209">
        <f>'Fluxo e Duração do Passivo'!AP36</f>
        <v>0</v>
      </c>
      <c r="J34" s="209">
        <f>'Fluxo e Duração do Passivo'!BK36</f>
        <v>143463055.94332999</v>
      </c>
      <c r="K34" s="209">
        <f t="shared" si="0"/>
        <v>4733303903.0613403</v>
      </c>
      <c r="L34" s="210">
        <f>'Fluxo e Duração do Passivo'!BO36</f>
        <v>3453148991.4510298</v>
      </c>
    </row>
    <row r="35" spans="1:13">
      <c r="A35" s="206">
        <f t="shared" si="4"/>
        <v>2046</v>
      </c>
      <c r="B35" s="207">
        <f>B34+1</f>
        <v>27</v>
      </c>
      <c r="C35" s="208">
        <f t="shared" si="2"/>
        <v>25951736180.78162</v>
      </c>
      <c r="D35" s="208">
        <f t="shared" si="3"/>
        <v>3395555863.6081085</v>
      </c>
      <c r="E35" s="208">
        <f>'Fluxo e Duração do Passivo'!E37</f>
        <v>63069516.700000003</v>
      </c>
      <c r="F35" s="208">
        <f>'Fluxo e Duração do Passivo'!AS37+'Fluxo e Duração do Passivo'!AZ37</f>
        <v>1302607518.46365</v>
      </c>
      <c r="G35" s="208">
        <f>'Fluxo e Duração do Passivo'!M37</f>
        <v>17355558.774700001</v>
      </c>
      <c r="H35" s="209">
        <f>'Fluxo e Duração do Passivo'!AO37</f>
        <v>1343608498.21</v>
      </c>
      <c r="I35" s="209">
        <f>'Fluxo e Duração do Passivo'!AP37</f>
        <v>0</v>
      </c>
      <c r="J35" s="209">
        <f>'Fluxo e Duração do Passivo'!BK37</f>
        <v>197688834.67506999</v>
      </c>
      <c r="K35" s="209">
        <f t="shared" si="0"/>
        <v>4756519920.5928087</v>
      </c>
      <c r="L35" s="210">
        <f>'Fluxo e Duração do Passivo'!BO37</f>
        <v>3852847042.1259899</v>
      </c>
    </row>
    <row r="36" spans="1:13">
      <c r="A36" s="206">
        <f t="shared" si="4"/>
        <v>2047</v>
      </c>
      <c r="B36" s="207">
        <f t="shared" si="4"/>
        <v>28</v>
      </c>
      <c r="C36" s="208">
        <f t="shared" si="2"/>
        <v>27249322989.820702</v>
      </c>
      <c r="D36" s="208">
        <f t="shared" si="3"/>
        <v>3412533642.9261489</v>
      </c>
      <c r="E36" s="208">
        <f>'Fluxo e Duração do Passivo'!E38</f>
        <v>48927878.690000005</v>
      </c>
      <c r="F36" s="208">
        <f>'Fluxo e Duração do Passivo'!AS38+'Fluxo e Duração do Passivo'!AZ38</f>
        <v>1241304691.5810001</v>
      </c>
      <c r="G36" s="208">
        <f>'Fluxo e Duração do Passivo'!M38</f>
        <v>13441825.776799999</v>
      </c>
      <c r="H36" s="209">
        <f>'Fluxo e Duração do Passivo'!AO38</f>
        <v>1357044583.1900001</v>
      </c>
      <c r="I36" s="209">
        <f>'Fluxo e Duração do Passivo'!AP38</f>
        <v>0</v>
      </c>
      <c r="J36" s="209">
        <f>'Fluxo e Duração do Passivo'!BK38</f>
        <v>260922545.54559001</v>
      </c>
      <c r="K36" s="209">
        <f t="shared" si="0"/>
        <v>4783020051.8929491</v>
      </c>
      <c r="L36" s="210">
        <f>'Fluxo e Duração do Passivo'!BO38</f>
        <v>4339161139.6359501</v>
      </c>
    </row>
    <row r="37" spans="1:13">
      <c r="A37" s="206">
        <f t="shared" si="4"/>
        <v>2048</v>
      </c>
      <c r="B37" s="207">
        <f t="shared" si="4"/>
        <v>29</v>
      </c>
      <c r="C37" s="208">
        <f t="shared" si="2"/>
        <v>28611789139.311737</v>
      </c>
      <c r="D37" s="208">
        <f t="shared" si="3"/>
        <v>3429596311.1407795</v>
      </c>
      <c r="E37" s="208">
        <f>'Fluxo e Duração do Passivo'!E39</f>
        <v>35914762.200000003</v>
      </c>
      <c r="F37" s="208">
        <f>'Fluxo e Duração do Passivo'!AS39+'Fluxo e Duração do Passivo'!AZ39</f>
        <v>1180028659.97613</v>
      </c>
      <c r="G37" s="208">
        <f>'Fluxo e Duração do Passivo'!M39</f>
        <v>9854718.7092000004</v>
      </c>
      <c r="H37" s="209">
        <f>'Fluxo e Duração do Passivo'!AO39</f>
        <v>1370615029.03</v>
      </c>
      <c r="I37" s="209">
        <f>'Fluxo e Duração do Passivo'!AP39</f>
        <v>0</v>
      </c>
      <c r="J37" s="209">
        <f>'Fluxo e Duração do Passivo'!BK39</f>
        <v>324720212.98637003</v>
      </c>
      <c r="K37" s="209">
        <f t="shared" si="0"/>
        <v>4810066058.8799791</v>
      </c>
      <c r="L37" s="210">
        <f>'Fluxo e Duração do Passivo'!BO39</f>
        <v>4917722279.2910204</v>
      </c>
    </row>
    <row r="38" spans="1:13">
      <c r="A38" s="206">
        <f t="shared" si="4"/>
        <v>2049</v>
      </c>
      <c r="B38" s="207">
        <f t="shared" si="4"/>
        <v>30</v>
      </c>
      <c r="C38" s="208">
        <f t="shared" si="2"/>
        <v>30042378596.277325</v>
      </c>
      <c r="D38" s="208">
        <f t="shared" si="3"/>
        <v>3446744292.6964831</v>
      </c>
      <c r="E38" s="208">
        <f>'Fluxo e Duração do Passivo'!E40</f>
        <v>24028870.909999996</v>
      </c>
      <c r="F38" s="208">
        <f>'Fluxo e Duração do Passivo'!AS40+'Fluxo e Duração do Passivo'!AZ40</f>
        <v>1118860704.84794</v>
      </c>
      <c r="G38" s="208">
        <f>'Fluxo e Duração do Passivo'!M40</f>
        <v>6586424.1142999995</v>
      </c>
      <c r="H38" s="209">
        <f>'Fluxo e Duração do Passivo'!AO40</f>
        <v>1384321179.3199999</v>
      </c>
      <c r="I38" s="209">
        <f>'Fluxo e Duração do Passivo'!AP40</f>
        <v>0</v>
      </c>
      <c r="J38" s="209">
        <f>'Fluxo e Duração do Passivo'!BK40</f>
        <v>388998596.10364997</v>
      </c>
      <c r="K38" s="209">
        <f t="shared" si="0"/>
        <v>4837651896.1307831</v>
      </c>
      <c r="L38" s="210">
        <f>'Fluxo e Duração do Passivo'!BO40</f>
        <v>5594407628.7332001</v>
      </c>
    </row>
    <row r="39" spans="1:13">
      <c r="A39" s="206">
        <f t="shared" si="4"/>
        <v>2050</v>
      </c>
      <c r="B39" s="207">
        <f t="shared" si="4"/>
        <v>31</v>
      </c>
      <c r="C39" s="208">
        <f t="shared" si="2"/>
        <v>31544497526.09119</v>
      </c>
      <c r="D39" s="208">
        <f t="shared" si="3"/>
        <v>3463978014.159965</v>
      </c>
      <c r="E39" s="208">
        <f>'Fluxo e Duração do Passivo'!E41</f>
        <v>15314114.859999999</v>
      </c>
      <c r="F39" s="208">
        <f>'Fluxo e Duração do Passivo'!AS41+'Fluxo e Duração do Passivo'!AZ41</f>
        <v>1056422532.5817201</v>
      </c>
      <c r="G39" s="208">
        <f>'Fluxo e Duração do Passivo'!M41</f>
        <v>4159368.514</v>
      </c>
      <c r="H39" s="209">
        <f>'Fluxo e Duração do Passivo'!AO41</f>
        <v>1398164391.1099999</v>
      </c>
      <c r="I39" s="209">
        <f>'Fluxo e Duração do Passivo'!AP41</f>
        <v>0</v>
      </c>
      <c r="J39" s="209">
        <f>'Fluxo e Duração do Passivo'!BK41</f>
        <v>455776194.32189</v>
      </c>
      <c r="K39" s="209">
        <f t="shared" si="0"/>
        <v>4866301773.7839651</v>
      </c>
      <c r="L39" s="210">
        <f>'Fluxo e Duração do Passivo'!BO41</f>
        <v>6377456669.3359804</v>
      </c>
    </row>
    <row r="40" spans="1:13">
      <c r="A40" s="206">
        <f t="shared" si="4"/>
        <v>2051</v>
      </c>
      <c r="B40" s="207">
        <f t="shared" si="4"/>
        <v>32</v>
      </c>
      <c r="C40" s="208">
        <f t="shared" si="2"/>
        <v>33121722402.395752</v>
      </c>
      <c r="D40" s="208">
        <f t="shared" si="3"/>
        <v>3481297904.2307644</v>
      </c>
      <c r="E40" s="208">
        <f>'Fluxo e Duração do Passivo'!E42</f>
        <v>9855740.0999999996</v>
      </c>
      <c r="F40" s="208">
        <f>'Fluxo e Duração do Passivo'!AS42+'Fluxo e Duração do Passivo'!AZ42</f>
        <v>993728026.82333004</v>
      </c>
      <c r="G40" s="208">
        <f>'Fluxo e Duração do Passivo'!M42</f>
        <v>2648282.4723</v>
      </c>
      <c r="H40" s="209">
        <f>'Fluxo e Duração do Passivo'!AO42</f>
        <v>0</v>
      </c>
      <c r="I40" s="209">
        <f>'Fluxo e Duração do Passivo'!AP42</f>
        <v>0</v>
      </c>
      <c r="J40" s="209">
        <f>'Fluxo e Duração do Passivo'!BK42</f>
        <v>-887886624.37497997</v>
      </c>
      <c r="K40" s="209">
        <f t="shared" si="0"/>
        <v>4371832811.0780449</v>
      </c>
      <c r="L40" s="210">
        <f>'Fluxo e Duração do Passivo'!BO42</f>
        <v>5862651260.1171598</v>
      </c>
    </row>
    <row r="41" spans="1:13">
      <c r="A41" s="206">
        <f t="shared" si="4"/>
        <v>2052</v>
      </c>
      <c r="B41" s="207">
        <f t="shared" si="4"/>
        <v>33</v>
      </c>
      <c r="C41" s="208">
        <f t="shared" si="2"/>
        <v>34777808522.515541</v>
      </c>
      <c r="D41" s="208">
        <f t="shared" si="3"/>
        <v>3498704393.7519178</v>
      </c>
      <c r="E41" s="208">
        <f>'Fluxo e Duração do Passivo'!E43</f>
        <v>7177136.2300000004</v>
      </c>
      <c r="F41" s="208">
        <f>'Fluxo e Duração do Passivo'!AS43+'Fluxo e Duração do Passivo'!AZ43</f>
        <v>931268810.41498995</v>
      </c>
      <c r="G41" s="208">
        <f>'Fluxo e Duração do Passivo'!M43</f>
        <v>1921355.0584</v>
      </c>
      <c r="H41" s="209">
        <f>'Fluxo e Duração do Passivo'!AO43</f>
        <v>0</v>
      </c>
      <c r="I41" s="209">
        <f>'Fluxo e Duração do Passivo'!AP43</f>
        <v>0</v>
      </c>
      <c r="J41" s="209">
        <f>'Fluxo e Duração do Passivo'!BK43</f>
        <v>-832489604.66009998</v>
      </c>
      <c r="K41" s="209">
        <f t="shared" si="0"/>
        <v>4333115353.470418</v>
      </c>
      <c r="L41" s="210">
        <f>'Fluxo e Duração do Passivo'!BO43</f>
        <v>5373126754.1739101</v>
      </c>
    </row>
    <row r="42" spans="1:13">
      <c r="A42" s="206">
        <f>A41+1</f>
        <v>2053</v>
      </c>
      <c r="B42" s="207">
        <f>B41+1</f>
        <v>34</v>
      </c>
      <c r="C42" s="208">
        <f t="shared" si="2"/>
        <v>36516698948.641319</v>
      </c>
      <c r="D42" s="208">
        <f t="shared" si="3"/>
        <v>3516197915.7206769</v>
      </c>
      <c r="E42" s="208">
        <f>'Fluxo e Duração do Passivo'!E44</f>
        <v>5446038.9900000002</v>
      </c>
      <c r="F42" s="208">
        <f>'Fluxo e Duração do Passivo'!AS44+'Fluxo e Duração do Passivo'!AZ44</f>
        <v>869866102.99186003</v>
      </c>
      <c r="G42" s="208">
        <f>'Fluxo e Duração do Passivo'!M44</f>
        <v>1456217.3685000001</v>
      </c>
      <c r="H42" s="209">
        <f>'Fluxo e Duração do Passivo'!AO44</f>
        <v>0</v>
      </c>
      <c r="I42" s="209">
        <f>'Fluxo e Duração do Passivo'!AP44</f>
        <v>0</v>
      </c>
      <c r="J42" s="209">
        <f>'Fluxo e Duração do Passivo'!BK44</f>
        <v>-777704917.21326005</v>
      </c>
      <c r="K42" s="209">
        <f t="shared" si="0"/>
        <v>4295359050.3024368</v>
      </c>
      <c r="L42" s="210">
        <f>'Fluxo e Duração do Passivo'!BO44</f>
        <v>4909749752.0798197</v>
      </c>
    </row>
    <row r="43" spans="1:13" ht="13.5" thickBot="1">
      <c r="A43" s="211">
        <f>A42+1</f>
        <v>2054</v>
      </c>
      <c r="B43" s="212">
        <f>B42+1</f>
        <v>35</v>
      </c>
      <c r="C43" s="208">
        <f t="shared" si="2"/>
        <v>38342533896.073387</v>
      </c>
      <c r="D43" s="208">
        <f t="shared" si="3"/>
        <v>3533778905.2992797</v>
      </c>
      <c r="E43" s="208">
        <f>'Fluxo e Duração do Passivo'!E45</f>
        <v>2447026.5499999998</v>
      </c>
      <c r="F43" s="208">
        <f>'Fluxo e Duração do Passivo'!AS45+'Fluxo e Duração do Passivo'!AZ45</f>
        <v>811076113.34051001</v>
      </c>
      <c r="G43" s="208">
        <f>'Fluxo e Duração do Passivo'!M45</f>
        <v>665966.0318</v>
      </c>
      <c r="H43" s="209">
        <f>'Fluxo e Duração do Passivo'!AO45</f>
        <v>0</v>
      </c>
      <c r="I43" s="209">
        <f>'Fluxo e Duração do Passivo'!AP45</f>
        <v>0</v>
      </c>
      <c r="J43" s="209">
        <f>'Fluxo e Duração do Passivo'!BK45</f>
        <v>-725827683.53226995</v>
      </c>
      <c r="K43" s="209">
        <f t="shared" si="0"/>
        <v>4260272554.8633494</v>
      </c>
      <c r="L43" s="210">
        <f>'Fluxo e Duração do Passivo'!BO45</f>
        <v>4471142429.04422</v>
      </c>
    </row>
    <row r="44" spans="1:13" s="64" customFormat="1">
      <c r="M44" s="71"/>
    </row>
    <row r="45" spans="1:13" s="64" customFormat="1">
      <c r="M45" s="71"/>
    </row>
    <row r="46" spans="1:13" s="64" customFormat="1" hidden="1">
      <c r="M46" s="71"/>
    </row>
    <row r="47" spans="1:13" s="64" customFormat="1" hidden="1">
      <c r="M47" s="71"/>
    </row>
    <row r="48" spans="1:13" s="64" customFormat="1" hidden="1">
      <c r="M48" s="71"/>
    </row>
    <row r="49" spans="13:13" s="64" customFormat="1" hidden="1">
      <c r="M49" s="71"/>
    </row>
    <row r="50" spans="13:13" s="64" customFormat="1" hidden="1">
      <c r="M50" s="71"/>
    </row>
    <row r="51" spans="13:13" s="64" customFormat="1" hidden="1">
      <c r="M51" s="71"/>
    </row>
    <row r="52" spans="13:13" s="64" customFormat="1" hidden="1">
      <c r="M52" s="71"/>
    </row>
    <row r="53" spans="13:13" s="64" customFormat="1" hidden="1">
      <c r="M53" s="71"/>
    </row>
    <row r="54" spans="13:13" s="64" customFormat="1" hidden="1">
      <c r="M54" s="71"/>
    </row>
    <row r="55" spans="13:13" s="64" customFormat="1" hidden="1">
      <c r="M55" s="71"/>
    </row>
    <row r="56" spans="13:13" s="64" customFormat="1" hidden="1">
      <c r="M56" s="71"/>
    </row>
    <row r="57" spans="13:13" s="64" customFormat="1" hidden="1">
      <c r="M57" s="71"/>
    </row>
    <row r="58" spans="13:13" s="64" customFormat="1" hidden="1">
      <c r="M58" s="71"/>
    </row>
    <row r="59" spans="13:13" s="64" customFormat="1" hidden="1">
      <c r="M59" s="71"/>
    </row>
    <row r="60" spans="13:13" s="64" customFormat="1" hidden="1">
      <c r="M60" s="71"/>
    </row>
    <row r="61" spans="13:13" s="64" customFormat="1" hidden="1">
      <c r="M61" s="71"/>
    </row>
    <row r="62" spans="13:13" s="64" customFormat="1" hidden="1">
      <c r="M62" s="71"/>
    </row>
    <row r="63" spans="13:13" s="64" customFormat="1" hidden="1">
      <c r="M63" s="71"/>
    </row>
    <row r="64" spans="13:13" s="64" customFormat="1" hidden="1">
      <c r="M64" s="71"/>
    </row>
    <row r="65" spans="13:13" s="64" customFormat="1" hidden="1">
      <c r="M65" s="71"/>
    </row>
    <row r="66" spans="13:13" s="64" customFormat="1" hidden="1">
      <c r="M66" s="71"/>
    </row>
    <row r="67" spans="13:13" s="64" customFormat="1" hidden="1">
      <c r="M67" s="71"/>
    </row>
    <row r="68" spans="13:13" s="64" customFormat="1" hidden="1">
      <c r="M68" s="71"/>
    </row>
    <row r="69" spans="13:13" hidden="1"/>
    <row r="70" spans="13:13" hidden="1"/>
    <row r="71" spans="13:13" hidden="1"/>
    <row r="72" spans="13:13" hidden="1"/>
    <row r="73" spans="13:13" hidden="1"/>
    <row r="74" spans="13:13" hidden="1"/>
    <row r="75" spans="13:13" hidden="1"/>
    <row r="76" spans="13:13" hidden="1"/>
    <row r="77" spans="13:13" hidden="1"/>
    <row r="78" spans="13:13" hidden="1"/>
    <row r="79" spans="13:13" hidden="1"/>
    <row r="80" spans="13:13" hidden="1"/>
    <row r="81" spans="3:13" s="65" customFormat="1" hidden="1">
      <c r="C81" s="53"/>
      <c r="M81" s="71"/>
    </row>
  </sheetData>
  <mergeCells count="1">
    <mergeCell ref="A5:F5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I81"/>
  <sheetViews>
    <sheetView zoomScaleNormal="100" workbookViewId="0">
      <pane ySplit="8" topLeftCell="A9" activePane="bottomLeft" state="frozen"/>
      <selection pane="bottomLeft" activeCell="D8" sqref="D8"/>
    </sheetView>
  </sheetViews>
  <sheetFormatPr defaultColWidth="0" defaultRowHeight="16.5" zeroHeight="1"/>
  <cols>
    <col min="1" max="1" width="7" style="43" customWidth="1"/>
    <col min="2" max="2" width="7.42578125" style="43" customWidth="1"/>
    <col min="3" max="4" width="21.140625" style="43" customWidth="1"/>
    <col min="5" max="5" width="20.5703125" style="43" customWidth="1"/>
    <col min="6" max="6" width="19" style="43" customWidth="1"/>
    <col min="7" max="9" width="0" style="43" hidden="1" customWidth="1"/>
    <col min="10" max="16384" width="19" style="43" hidden="1"/>
  </cols>
  <sheetData>
    <row r="1" spans="1:9" s="121" customFormat="1" ht="15.75">
      <c r="A1" s="131" t="s">
        <v>131</v>
      </c>
      <c r="B1" s="131"/>
      <c r="C1" s="120"/>
      <c r="D1" s="120"/>
      <c r="E1" s="120"/>
    </row>
    <row r="2" spans="1:9" s="121" customFormat="1">
      <c r="A2" s="132"/>
      <c r="B2" s="132"/>
      <c r="C2" s="43"/>
      <c r="D2" s="43"/>
    </row>
    <row r="3" spans="1:9" s="122" customFormat="1" ht="17.25" thickBot="1">
      <c r="A3" s="229" t="s">
        <v>117</v>
      </c>
      <c r="B3" s="230"/>
      <c r="E3" s="44"/>
    </row>
    <row r="4" spans="1:9" s="124" customFormat="1" ht="26.25" customHeight="1">
      <c r="A4" s="227" t="s">
        <v>103</v>
      </c>
      <c r="B4" s="228"/>
      <c r="C4" s="123">
        <v>2020</v>
      </c>
      <c r="E4" s="125"/>
      <c r="F4" s="45"/>
      <c r="G4" s="45"/>
      <c r="I4" s="45"/>
    </row>
    <row r="5" spans="1:9" s="124" customFormat="1" ht="12.75">
      <c r="A5" s="143" t="s">
        <v>104</v>
      </c>
      <c r="B5" s="141"/>
      <c r="C5" s="198">
        <v>43830</v>
      </c>
      <c r="E5" s="125"/>
      <c r="F5" s="45"/>
      <c r="G5" s="45"/>
      <c r="I5" s="45"/>
    </row>
    <row r="6" spans="1:9" s="124" customFormat="1" ht="12.75">
      <c r="A6" s="144" t="s">
        <v>105</v>
      </c>
      <c r="B6" s="142"/>
      <c r="C6" s="199">
        <v>43831</v>
      </c>
      <c r="E6" s="125"/>
      <c r="F6" s="45"/>
      <c r="G6" s="45"/>
      <c r="I6" s="45"/>
    </row>
    <row r="7" spans="1:9" ht="17.25" thickBot="1"/>
    <row r="8" spans="1:9" s="46" customFormat="1" ht="66.75" thickBot="1">
      <c r="A8" s="126" t="s">
        <v>111</v>
      </c>
      <c r="B8" s="127" t="s">
        <v>119</v>
      </c>
      <c r="C8" s="128" t="s">
        <v>127</v>
      </c>
      <c r="D8" s="129" t="s">
        <v>128</v>
      </c>
      <c r="E8" s="130" t="s">
        <v>129</v>
      </c>
    </row>
    <row r="9" spans="1:9">
      <c r="A9" s="116">
        <f>'01- Histórico'!A28</f>
        <v>2019</v>
      </c>
      <c r="B9" s="117">
        <v>0</v>
      </c>
      <c r="C9" s="118">
        <f>'02 - Projeções'!K8/'02 - Projeções'!C8</f>
        <v>0.55622722433138372</v>
      </c>
      <c r="D9" s="118">
        <f>C9/(0.54*0.95)-1</f>
        <v>8.4263595187882512E-2</v>
      </c>
      <c r="E9" s="119"/>
    </row>
    <row r="10" spans="1:9">
      <c r="A10" s="47">
        <f>A9+1</f>
        <v>2020</v>
      </c>
      <c r="B10" s="110">
        <f>B9+1</f>
        <v>1</v>
      </c>
      <c r="C10" s="111">
        <f>'02 - Projeções'!K9/'02 - Projeções'!C9</f>
        <v>0.54591751152508328</v>
      </c>
      <c r="D10" s="111">
        <f t="shared" ref="D10:D44" si="0">C10/(0.54*0.95)-1</f>
        <v>6.4166689132715948E-2</v>
      </c>
      <c r="E10" s="48">
        <f>('02 - Projeções'!L9-'02 - Projeções'!L8)/'02 - Projeções'!L8</f>
        <v>-2.4885913282656817E-2</v>
      </c>
    </row>
    <row r="11" spans="1:9">
      <c r="A11" s="47">
        <f t="shared" ref="A11:B26" si="1">A10+1</f>
        <v>2021</v>
      </c>
      <c r="B11" s="110">
        <f t="shared" si="1"/>
        <v>2</v>
      </c>
      <c r="C11" s="111">
        <f>'02 - Projeções'!K10/'02 - Projeções'!C10</f>
        <v>0.52753768739822815</v>
      </c>
      <c r="D11" s="111">
        <f t="shared" si="0"/>
        <v>2.8338571926370681E-2</v>
      </c>
      <c r="E11" s="48">
        <f>('02 - Projeções'!L10-'02 - Projeções'!L9)/'02 - Projeções'!L9</f>
        <v>-2.2625018068781349E-2</v>
      </c>
    </row>
    <row r="12" spans="1:9">
      <c r="A12" s="47">
        <f t="shared" si="1"/>
        <v>2022</v>
      </c>
      <c r="B12" s="110">
        <f t="shared" si="1"/>
        <v>3</v>
      </c>
      <c r="C12" s="111">
        <f>'02 - Projeções'!K11/'02 - Projeções'!C11</f>
        <v>0.5108244519565367</v>
      </c>
      <c r="D12" s="111">
        <f t="shared" si="0"/>
        <v>-4.240834392716053E-3</v>
      </c>
      <c r="E12" s="48">
        <f>('02 - Projeções'!L11-'02 - Projeções'!L10)/'02 - Projeções'!L10</f>
        <v>-1.5659454347197295E-2</v>
      </c>
    </row>
    <row r="13" spans="1:9">
      <c r="A13" s="47">
        <f t="shared" si="1"/>
        <v>2023</v>
      </c>
      <c r="B13" s="110">
        <f t="shared" si="1"/>
        <v>4</v>
      </c>
      <c r="C13" s="111">
        <f>'02 - Projeções'!K12/'02 - Projeções'!C12</f>
        <v>0.49514523024885271</v>
      </c>
      <c r="D13" s="111">
        <f t="shared" si="0"/>
        <v>-3.4804619397947989E-2</v>
      </c>
      <c r="E13" s="48">
        <f>('02 - Projeções'!L12-'02 - Projeções'!L11)/'02 - Projeções'!L11</f>
        <v>-1.7195605988688068E-2</v>
      </c>
    </row>
    <row r="14" spans="1:9">
      <c r="A14" s="47">
        <f t="shared" si="1"/>
        <v>2024</v>
      </c>
      <c r="B14" s="110">
        <f t="shared" si="1"/>
        <v>5</v>
      </c>
      <c r="C14" s="111">
        <f>'02 - Projeções'!K13/'02 - Projeções'!C13</f>
        <v>0.48015988424729689</v>
      </c>
      <c r="D14" s="111">
        <f t="shared" si="0"/>
        <v>-6.4015820180707839E-2</v>
      </c>
      <c r="E14" s="48">
        <f>('02 - Projeções'!L13-'02 - Projeções'!L12)/'02 - Projeções'!L12</f>
        <v>-1.9497902106284475E-2</v>
      </c>
    </row>
    <row r="15" spans="1:9">
      <c r="A15" s="47">
        <f t="shared" si="1"/>
        <v>2025</v>
      </c>
      <c r="B15" s="110">
        <f t="shared" si="1"/>
        <v>6</v>
      </c>
      <c r="C15" s="111">
        <f>'02 - Projeções'!K14/'02 - Projeções'!C14</f>
        <v>0.46464828533737651</v>
      </c>
      <c r="D15" s="111">
        <f t="shared" si="0"/>
        <v>-9.4252855092833321E-2</v>
      </c>
      <c r="E15" s="48">
        <f>('02 - Projeções'!L14-'02 - Projeções'!L13)/'02 - Projeções'!L13</f>
        <v>-1.0771489697466696E-2</v>
      </c>
    </row>
    <row r="16" spans="1:9">
      <c r="A16" s="47">
        <f t="shared" si="1"/>
        <v>2026</v>
      </c>
      <c r="B16" s="110">
        <f t="shared" si="1"/>
        <v>7</v>
      </c>
      <c r="C16" s="111">
        <f>'02 - Projeções'!K15/'02 - Projeções'!C15</f>
        <v>0.44927681634955502</v>
      </c>
      <c r="D16" s="111">
        <f t="shared" si="0"/>
        <v>-0.12421673226207597</v>
      </c>
      <c r="E16" s="48">
        <f>('02 - Projeções'!L15-'02 - Projeções'!L14)/'02 - Projeções'!L14</f>
        <v>-1.5098849228825203E-5</v>
      </c>
    </row>
    <row r="17" spans="1:5">
      <c r="A17" s="47">
        <f t="shared" si="1"/>
        <v>2027</v>
      </c>
      <c r="B17" s="110">
        <f t="shared" si="1"/>
        <v>8</v>
      </c>
      <c r="C17" s="111">
        <f>'02 - Projeções'!K16/'02 - Projeções'!C16</f>
        <v>0.43371633625632683</v>
      </c>
      <c r="D17" s="111">
        <f t="shared" si="0"/>
        <v>-0.1545490521319165</v>
      </c>
      <c r="E17" s="48">
        <f>('02 - Projeções'!L16-'02 - Projeções'!L15)/'02 - Projeções'!L15</f>
        <v>1.5336941346975396E-2</v>
      </c>
    </row>
    <row r="18" spans="1:5">
      <c r="A18" s="47">
        <f t="shared" si="1"/>
        <v>2028</v>
      </c>
      <c r="B18" s="110">
        <f t="shared" si="1"/>
        <v>9</v>
      </c>
      <c r="C18" s="111">
        <f>'02 - Projeções'!K17/'02 - Projeções'!C17</f>
        <v>0.41771798639903862</v>
      </c>
      <c r="D18" s="111">
        <f t="shared" si="0"/>
        <v>-0.18573491930011965</v>
      </c>
      <c r="E18" s="48">
        <f>('02 - Projeções'!L17-'02 - Projeções'!L16)/'02 - Projeções'!L16</f>
        <v>3.0005079404222739E-2</v>
      </c>
    </row>
    <row r="19" spans="1:5">
      <c r="A19" s="47">
        <f t="shared" si="1"/>
        <v>2029</v>
      </c>
      <c r="B19" s="110">
        <f t="shared" si="1"/>
        <v>10</v>
      </c>
      <c r="C19" s="111">
        <f>'02 - Projeções'!K18/'02 - Projeções'!C18</f>
        <v>0.40260498017259139</v>
      </c>
      <c r="D19" s="111">
        <f t="shared" si="0"/>
        <v>-0.21519497042379854</v>
      </c>
      <c r="E19" s="48">
        <f>('02 - Projeções'!L18-'02 - Projeções'!L17)/'02 - Projeções'!L17</f>
        <v>4.2615965532627087E-2</v>
      </c>
    </row>
    <row r="20" spans="1:5">
      <c r="A20" s="47">
        <f t="shared" si="1"/>
        <v>2030</v>
      </c>
      <c r="B20" s="110">
        <f t="shared" si="1"/>
        <v>11</v>
      </c>
      <c r="C20" s="111">
        <f>'02 - Projeções'!K19/'02 - Projeções'!C19</f>
        <v>0.38752979324878084</v>
      </c>
      <c r="D20" s="111">
        <f t="shared" si="0"/>
        <v>-0.24458129970997888</v>
      </c>
      <c r="E20" s="48">
        <f>('02 - Projeções'!L19-'02 - Projeções'!L18)/'02 - Projeções'!L18</f>
        <v>4.9324903611899423E-2</v>
      </c>
    </row>
    <row r="21" spans="1:5">
      <c r="A21" s="47">
        <f t="shared" si="1"/>
        <v>2031</v>
      </c>
      <c r="B21" s="110">
        <f t="shared" si="1"/>
        <v>12</v>
      </c>
      <c r="C21" s="111">
        <f>'02 - Projeções'!K20/'02 - Projeções'!C20</f>
        <v>0.37162267182581082</v>
      </c>
      <c r="D21" s="111">
        <f t="shared" si="0"/>
        <v>-0.27558933367288341</v>
      </c>
      <c r="E21" s="48">
        <f>('02 - Projeções'!L20-'02 - Projeções'!L19)/'02 - Projeções'!L19</f>
        <v>4.1452439691053083E-2</v>
      </c>
    </row>
    <row r="22" spans="1:5">
      <c r="A22" s="47">
        <f t="shared" si="1"/>
        <v>2032</v>
      </c>
      <c r="B22" s="110">
        <f t="shared" si="1"/>
        <v>13</v>
      </c>
      <c r="C22" s="111">
        <f>'02 - Projeções'!K21/'02 - Projeções'!C21</f>
        <v>0.35533787191572619</v>
      </c>
      <c r="D22" s="111">
        <f t="shared" si="0"/>
        <v>-0.30733358301028035</v>
      </c>
      <c r="E22" s="48">
        <f>('02 - Projeções'!L21-'02 - Projeções'!L20)/'02 - Projeções'!L20</f>
        <v>4.0741542617374803E-2</v>
      </c>
    </row>
    <row r="23" spans="1:5">
      <c r="A23" s="47">
        <f t="shared" si="1"/>
        <v>2033</v>
      </c>
      <c r="B23" s="110">
        <f t="shared" si="1"/>
        <v>14</v>
      </c>
      <c r="C23" s="111">
        <f>'02 - Projeções'!K22/'02 - Projeções'!C22</f>
        <v>0.34037848700630913</v>
      </c>
      <c r="D23" s="111">
        <f t="shared" si="0"/>
        <v>-0.33649417737561571</v>
      </c>
      <c r="E23" s="48">
        <f>('02 - Projeções'!L22-'02 - Projeções'!L21)/'02 - Projeções'!L21</f>
        <v>2.0993781922017517E-2</v>
      </c>
    </row>
    <row r="24" spans="1:5">
      <c r="A24" s="47">
        <f t="shared" si="1"/>
        <v>2034</v>
      </c>
      <c r="B24" s="110">
        <f t="shared" si="1"/>
        <v>15</v>
      </c>
      <c r="C24" s="111">
        <f>'02 - Projeções'!K23/'02 - Projeções'!C23</f>
        <v>0.32516877417195533</v>
      </c>
      <c r="D24" s="111">
        <f t="shared" si="0"/>
        <v>-0.36614274040554518</v>
      </c>
      <c r="E24" s="48">
        <f>('02 - Projeções'!L23-'02 - Projeções'!L22)/'02 - Projeções'!L22</f>
        <v>-4.8789457080383528E-3</v>
      </c>
    </row>
    <row r="25" spans="1:5">
      <c r="A25" s="47">
        <f t="shared" si="1"/>
        <v>2035</v>
      </c>
      <c r="B25" s="110">
        <f t="shared" si="1"/>
        <v>16</v>
      </c>
      <c r="C25" s="111">
        <f>'02 - Projeções'!K24/'02 - Projeções'!C24</f>
        <v>0.30969542461786997</v>
      </c>
      <c r="D25" s="111">
        <f t="shared" si="0"/>
        <v>-0.39630521516984407</v>
      </c>
      <c r="E25" s="48">
        <f>('02 - Projeções'!L24-'02 - Projeções'!L23)/'02 - Projeções'!L23</f>
        <v>2.0100413138548798E-3</v>
      </c>
    </row>
    <row r="26" spans="1:5">
      <c r="A26" s="47">
        <f t="shared" si="1"/>
        <v>2036</v>
      </c>
      <c r="B26" s="110">
        <f t="shared" si="1"/>
        <v>17</v>
      </c>
      <c r="C26" s="111">
        <f>'02 - Projeções'!K25/'02 - Projeções'!C25</f>
        <v>0.29494674880831701</v>
      </c>
      <c r="D26" s="111">
        <f t="shared" si="0"/>
        <v>-0.42505507054908964</v>
      </c>
      <c r="E26" s="48">
        <f>('02 - Projeções'!L25-'02 - Projeções'!L24)/'02 - Projeções'!L24</f>
        <v>8.5916618790022308E-3</v>
      </c>
    </row>
    <row r="27" spans="1:5">
      <c r="A27" s="47">
        <f t="shared" ref="A27:B42" si="2">A26+1</f>
        <v>2037</v>
      </c>
      <c r="B27" s="110">
        <f t="shared" si="2"/>
        <v>18</v>
      </c>
      <c r="C27" s="111">
        <f>'02 - Projeções'!K26/'02 - Projeções'!C26</f>
        <v>0.28055340718541844</v>
      </c>
      <c r="D27" s="111">
        <f t="shared" si="0"/>
        <v>-0.45311226669509075</v>
      </c>
      <c r="E27" s="48">
        <f>('02 - Projeções'!L26-'02 - Projeções'!L25)/'02 - Projeções'!L25</f>
        <v>1.8941615301480419E-2</v>
      </c>
    </row>
    <row r="28" spans="1:5">
      <c r="A28" s="47">
        <f t="shared" si="2"/>
        <v>2038</v>
      </c>
      <c r="B28" s="110">
        <f t="shared" si="2"/>
        <v>19</v>
      </c>
      <c r="C28" s="111">
        <f>'02 - Projeções'!K27/'02 - Projeções'!C27</f>
        <v>0.26693712187017138</v>
      </c>
      <c r="D28" s="111">
        <f t="shared" si="0"/>
        <v>-0.47965473319654706</v>
      </c>
      <c r="E28" s="48">
        <f>('02 - Projeções'!L27-'02 - Projeções'!L26)/'02 - Projeções'!L26</f>
        <v>2.7859069669597086E-2</v>
      </c>
    </row>
    <row r="29" spans="1:5">
      <c r="A29" s="47">
        <f t="shared" si="2"/>
        <v>2039</v>
      </c>
      <c r="B29" s="110">
        <f t="shared" si="2"/>
        <v>20</v>
      </c>
      <c r="C29" s="111">
        <f>'02 - Projeções'!K28/'02 - Projeções'!C28</f>
        <v>0.25437150661520191</v>
      </c>
      <c r="D29" s="111">
        <f t="shared" si="0"/>
        <v>-0.50414910991188711</v>
      </c>
      <c r="E29" s="48">
        <f>('02 - Projeções'!L28-'02 - Projeções'!L27)/'02 - Projeções'!L27</f>
        <v>3.1521885102756809E-2</v>
      </c>
    </row>
    <row r="30" spans="1:5">
      <c r="A30" s="47">
        <f t="shared" si="2"/>
        <v>2040</v>
      </c>
      <c r="B30" s="110">
        <f t="shared" si="2"/>
        <v>21</v>
      </c>
      <c r="C30" s="111">
        <f>'02 - Projeções'!K29/'02 - Projeções'!C29</f>
        <v>0.24169655926753</v>
      </c>
      <c r="D30" s="111">
        <f t="shared" si="0"/>
        <v>-0.52885660961495129</v>
      </c>
      <c r="E30" s="48">
        <f>('02 - Projeções'!L29-'02 - Projeções'!L28)/'02 - Projeções'!L28</f>
        <v>4.3598836034567566E-2</v>
      </c>
    </row>
    <row r="31" spans="1:5">
      <c r="A31" s="47">
        <f t="shared" si="2"/>
        <v>2041</v>
      </c>
      <c r="B31" s="110">
        <f t="shared" si="2"/>
        <v>22</v>
      </c>
      <c r="C31" s="111">
        <f>'02 - Projeções'!K30/'02 - Projeções'!C30</f>
        <v>0.22984655684607391</v>
      </c>
      <c r="D31" s="111">
        <f t="shared" si="0"/>
        <v>-0.55195602953981693</v>
      </c>
      <c r="E31" s="48">
        <f>('02 - Projeções'!L30-'02 - Projeções'!L29)/'02 - Projeções'!L29</f>
        <v>5.2385960416340208E-2</v>
      </c>
    </row>
    <row r="32" spans="1:5">
      <c r="A32" s="47">
        <f t="shared" si="2"/>
        <v>2042</v>
      </c>
      <c r="B32" s="110">
        <f t="shared" si="2"/>
        <v>23</v>
      </c>
      <c r="C32" s="111">
        <f>'02 - Projeções'!K31/'02 - Projeções'!C31</f>
        <v>0.21906016930485125</v>
      </c>
      <c r="D32" s="111">
        <f t="shared" si="0"/>
        <v>-0.57298212611140109</v>
      </c>
      <c r="E32" s="48">
        <f>('02 - Projeções'!L31-'02 - Projeções'!L30)/'02 - Projeções'!L30</f>
        <v>6.7677281308817436E-2</v>
      </c>
    </row>
    <row r="33" spans="1:5">
      <c r="A33" s="47">
        <f t="shared" si="2"/>
        <v>2043</v>
      </c>
      <c r="B33" s="110">
        <f t="shared" si="2"/>
        <v>24</v>
      </c>
      <c r="C33" s="111">
        <f>'02 - Projeções'!K32/'02 - Projeções'!C32</f>
        <v>0.20942933646768702</v>
      </c>
      <c r="D33" s="111">
        <f t="shared" si="0"/>
        <v>-0.59175567940022022</v>
      </c>
      <c r="E33" s="48">
        <f>('02 - Projeções'!L32-'02 - Projeções'!L31)/'02 - Projeções'!L31</f>
        <v>8.1290240027944966E-2</v>
      </c>
    </row>
    <row r="34" spans="1:5">
      <c r="A34" s="47">
        <f t="shared" si="2"/>
        <v>2044</v>
      </c>
      <c r="B34" s="110">
        <f t="shared" si="2"/>
        <v>25</v>
      </c>
      <c r="C34" s="111">
        <f>'02 - Projeções'!K33/'02 - Projeções'!C33</f>
        <v>0.20013446825010828</v>
      </c>
      <c r="D34" s="111">
        <f t="shared" si="0"/>
        <v>-0.60987433089647514</v>
      </c>
      <c r="E34" s="48">
        <f>('02 - Projeções'!L33-'02 - Projeções'!L32)/'02 - Projeções'!L32</f>
        <v>9.0578778436368676E-2</v>
      </c>
    </row>
    <row r="35" spans="1:5">
      <c r="A35" s="47">
        <f t="shared" si="2"/>
        <v>2045</v>
      </c>
      <c r="B35" s="110">
        <f t="shared" si="2"/>
        <v>26</v>
      </c>
      <c r="C35" s="111">
        <f>'02 - Projeções'!K34/'02 - Projeções'!C34</f>
        <v>0.19150815435211166</v>
      </c>
      <c r="D35" s="111">
        <f t="shared" si="0"/>
        <v>-0.62668975759822287</v>
      </c>
      <c r="E35" s="48">
        <f>('02 - Projeções'!L34-'02 - Projeções'!L33)/'02 - Projeções'!L33</f>
        <v>0.10438219174721136</v>
      </c>
    </row>
    <row r="36" spans="1:5">
      <c r="A36" s="47">
        <f t="shared" si="2"/>
        <v>2046</v>
      </c>
      <c r="B36" s="110">
        <f>B35+1</f>
        <v>27</v>
      </c>
      <c r="C36" s="111">
        <f>'02 - Projeções'!K35/'02 - Projeções'!C35</f>
        <v>0.18328330279941799</v>
      </c>
      <c r="D36" s="111">
        <f t="shared" si="0"/>
        <v>-0.64272260662881486</v>
      </c>
      <c r="E36" s="48">
        <f>('02 - Projeções'!L35-'02 - Projeções'!L34)/'02 - Projeções'!L34</f>
        <v>0.11574885753973943</v>
      </c>
    </row>
    <row r="37" spans="1:5">
      <c r="A37" s="47">
        <f t="shared" si="2"/>
        <v>2047</v>
      </c>
      <c r="B37" s="110">
        <f t="shared" si="2"/>
        <v>28</v>
      </c>
      <c r="C37" s="111">
        <f>'02 - Projeções'!K36/'02 - Projeções'!C36</f>
        <v>0.17552803251954924</v>
      </c>
      <c r="D37" s="111">
        <f t="shared" si="0"/>
        <v>-0.65784009255448495</v>
      </c>
      <c r="E37" s="48">
        <f>('02 - Projeções'!L36-'02 - Projeções'!L35)/'02 - Projeções'!L35</f>
        <v>0.1262220099040354</v>
      </c>
    </row>
    <row r="38" spans="1:5">
      <c r="A38" s="47">
        <f t="shared" si="2"/>
        <v>2048</v>
      </c>
      <c r="B38" s="110">
        <f t="shared" si="2"/>
        <v>29</v>
      </c>
      <c r="C38" s="111">
        <f>'02 - Projeções'!K37/'02 - Projeções'!C37</f>
        <v>0.16811482971091427</v>
      </c>
      <c r="D38" s="111">
        <f t="shared" si="0"/>
        <v>-0.67229078029061551</v>
      </c>
      <c r="E38" s="48">
        <f>('02 - Projeções'!L37-'02 - Projeções'!L36)/'02 - Projeções'!L36</f>
        <v>0.13333479007502608</v>
      </c>
    </row>
    <row r="39" spans="1:5">
      <c r="A39" s="47">
        <f t="shared" si="2"/>
        <v>2049</v>
      </c>
      <c r="B39" s="110">
        <f t="shared" si="2"/>
        <v>30</v>
      </c>
      <c r="C39" s="111">
        <f>'02 - Projeções'!K38/'02 - Projeções'!C38</f>
        <v>0.16102759242672737</v>
      </c>
      <c r="D39" s="111">
        <f t="shared" si="0"/>
        <v>-0.68610605764770494</v>
      </c>
      <c r="E39" s="48">
        <f>('02 - Projeções'!L38-'02 - Projeções'!L37)/'02 - Projeções'!L37</f>
        <v>0.13760137539522388</v>
      </c>
    </row>
    <row r="40" spans="1:5">
      <c r="A40" s="47">
        <f t="shared" si="2"/>
        <v>2050</v>
      </c>
      <c r="B40" s="110">
        <f t="shared" si="2"/>
        <v>31</v>
      </c>
      <c r="C40" s="111">
        <f>'02 - Projeções'!K39/'02 - Projeções'!C39</f>
        <v>0.15426784876693417</v>
      </c>
      <c r="D40" s="111">
        <f t="shared" si="0"/>
        <v>-0.69928294587342266</v>
      </c>
      <c r="E40" s="48">
        <f>('02 - Projeções'!L39-'02 - Projeções'!L38)/'02 - Projeções'!L38</f>
        <v>0.13996996510962043</v>
      </c>
    </row>
    <row r="41" spans="1:5">
      <c r="A41" s="47">
        <f t="shared" si="2"/>
        <v>2051</v>
      </c>
      <c r="B41" s="110">
        <f t="shared" si="2"/>
        <v>32</v>
      </c>
      <c r="C41" s="111">
        <f>'02 - Projeções'!K40/'02 - Projeções'!C40</f>
        <v>0.13199291866421242</v>
      </c>
      <c r="D41" s="111">
        <f t="shared" si="0"/>
        <v>-0.74270386225299723</v>
      </c>
      <c r="E41" s="48">
        <f>('02 - Projeções'!L40-'02 - Projeções'!L39)/'02 - Projeções'!L39</f>
        <v>-8.0722682396903223E-2</v>
      </c>
    </row>
    <row r="42" spans="1:5">
      <c r="A42" s="47">
        <f t="shared" si="2"/>
        <v>2052</v>
      </c>
      <c r="B42" s="110">
        <f t="shared" si="2"/>
        <v>33</v>
      </c>
      <c r="C42" s="111">
        <f>'02 - Projeções'!K41/'02 - Projeções'!C41</f>
        <v>0.12459426104048824</v>
      </c>
      <c r="D42" s="111">
        <f t="shared" si="0"/>
        <v>-0.7571261968021672</v>
      </c>
      <c r="E42" s="48">
        <f>('02 - Projeções'!L41-'02 - Projeções'!L40)/'02 - Projeções'!L40</f>
        <v>-8.3498827445770155E-2</v>
      </c>
    </row>
    <row r="43" spans="1:5">
      <c r="A43" s="47">
        <f>A42+1</f>
        <v>2053</v>
      </c>
      <c r="B43" s="110">
        <f>B42+1</f>
        <v>34</v>
      </c>
      <c r="C43" s="111">
        <f>'02 - Projeções'!K42/'02 - Projeções'!C42</f>
        <v>0.11762725476209165</v>
      </c>
      <c r="D43" s="111">
        <f t="shared" si="0"/>
        <v>-0.77070710572691681</v>
      </c>
      <c r="E43" s="48">
        <f>('02 - Projeções'!L42-'02 - Projeções'!L41)/'02 - Projeções'!L41</f>
        <v>-8.6239730290027794E-2</v>
      </c>
    </row>
    <row r="44" spans="1:5" ht="17.25" thickBot="1">
      <c r="A44" s="112">
        <f>A43+1</f>
        <v>2054</v>
      </c>
      <c r="B44" s="113">
        <f>B43+1</f>
        <v>35</v>
      </c>
      <c r="C44" s="114">
        <f>'02 - Projeções'!K43/'02 - Projeções'!C43</f>
        <v>0.11111087666795122</v>
      </c>
      <c r="D44" s="114">
        <f t="shared" si="0"/>
        <v>-0.78340959713849667</v>
      </c>
      <c r="E44" s="115">
        <f>('02 - Projeções'!L43-'02 - Projeções'!L42)/'02 - Projeções'!L42</f>
        <v>-8.9333946775963721E-2</v>
      </c>
    </row>
    <row r="45" spans="1:5" s="49" customFormat="1"/>
    <row r="46" spans="1:5" s="49" customFormat="1" hidden="1"/>
    <row r="47" spans="1:5" s="49" customFormat="1" hidden="1"/>
    <row r="48" spans="1:5" s="49" customFormat="1" hidden="1"/>
    <row r="49" s="49" customFormat="1" hidden="1"/>
    <row r="50" s="49" customFormat="1" hidden="1"/>
    <row r="51" s="49" customFormat="1" hidden="1"/>
    <row r="52" s="49" customFormat="1" hidden="1"/>
    <row r="53" s="49" customFormat="1" hidden="1"/>
    <row r="54" s="49" customFormat="1" hidden="1"/>
    <row r="55" s="49" customFormat="1" hidden="1"/>
    <row r="56" s="49" customFormat="1" hidden="1"/>
    <row r="57" s="49" customFormat="1" hidden="1"/>
    <row r="58" s="49" customFormat="1" hidden="1"/>
    <row r="59" s="49" customFormat="1" hidden="1"/>
    <row r="60" s="49" customFormat="1" hidden="1"/>
    <row r="61" s="49" customFormat="1" hidden="1"/>
    <row r="62" s="49" customFormat="1" hidden="1"/>
    <row r="63" s="49" customFormat="1" hidden="1"/>
    <row r="64" s="49" customFormat="1" hidden="1"/>
    <row r="65" s="49" customFormat="1" hidden="1"/>
    <row r="66" s="49" customFormat="1" hidden="1"/>
    <row r="67" s="49" customFormat="1" hidden="1"/>
    <row r="68" s="49" customFormat="1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spans="3:4" s="50" customFormat="1" hidden="1">
      <c r="C81" s="43"/>
      <c r="D81" s="43"/>
    </row>
  </sheetData>
  <sheetProtection algorithmName="SHA-512" hashValue="Ok5MJOrVoia+3WyY6MAoqnxO1V8XxYI4S+YNVqjL4Ubb9fKQ3YsTCu+x3sxXrF8U7+ZyyBWPjvLi1u+qYXWrsw==" saltValue="kdWVpkNFpRil58BGvrL7BQ==" spinCount="100000" sheet="1" objects="1" scenarios="1"/>
  <mergeCells count="2">
    <mergeCell ref="A4:B4"/>
    <mergeCell ref="A3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Fluxo e Duração do Passivo</vt:lpstr>
      <vt:lpstr>Anexo 1 - Despesa com Pessoal </vt:lpstr>
      <vt:lpstr>01- Histórico</vt:lpstr>
      <vt:lpstr>02 - Projeções</vt:lpstr>
      <vt:lpstr>03 - Indicadores </vt:lpstr>
      <vt:lpstr>'01- Histórico'!Area_de_impressao</vt:lpstr>
      <vt:lpstr>'02 - Projeções'!Area_de_impressao</vt:lpstr>
      <vt:lpstr>'01- Histórico'!Titulos_de_impressao</vt:lpstr>
      <vt:lpstr>'02 - Projeções'!Titulos_de_impressao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Jesiel Lopes Rodrigues</dc:creator>
  <cp:lastModifiedBy>Jose Wilson Silva Neto - SPREV</cp:lastModifiedBy>
  <dcterms:created xsi:type="dcterms:W3CDTF">2015-01-12T14:28:52Z</dcterms:created>
  <dcterms:modified xsi:type="dcterms:W3CDTF">2020-10-27T16:08:40Z</dcterms:modified>
</cp:coreProperties>
</file>