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810" yWindow="1320" windowWidth="18075" windowHeight="12960"/>
  </bookViews>
  <sheets>
    <sheet name="CPU" sheetId="1" r:id="rId1"/>
    <sheet name="RESUMO" sheetId="4" r:id="rId2"/>
    <sheet name="Euro" sheetId="6" r:id="rId3"/>
    <sheet name="Dólar" sheetId="7" r:id="rId4"/>
    <sheet name="Assoreamento" sheetId="8" r:id="rId5"/>
    <sheet name="Cron_fis" sheetId="10" state="hidden" r:id="rId6"/>
  </sheets>
  <externalReferences>
    <externalReference r:id="rId7"/>
  </externalReferences>
  <definedNames>
    <definedName name="_xlnm.Print_Area" localSheetId="0">CPU!$A$1:$I$1584</definedName>
    <definedName name="_xlnm.Print_Area" localSheetId="5">Cron_fis!$B$2:$CB$48</definedName>
  </definedNames>
  <calcPr calcId="124519"/>
</workbook>
</file>

<file path=xl/calcChain.xml><?xml version="1.0" encoding="utf-8"?>
<calcChain xmlns="http://schemas.openxmlformats.org/spreadsheetml/2006/main">
  <c r="F21" i="1"/>
  <c r="F22"/>
  <c r="F23"/>
  <c r="F20"/>
  <c r="H20"/>
  <c r="H23"/>
  <c r="H22"/>
  <c r="G21"/>
  <c r="H24"/>
  <c r="H21"/>
  <c r="E29" i="8"/>
  <c r="F56" i="1"/>
  <c r="G19" i="8"/>
  <c r="G21"/>
  <c r="H7" s="1"/>
  <c r="G20"/>
  <c r="W6"/>
  <c r="G18"/>
  <c r="H4" s="1"/>
  <c r="G87" i="10"/>
  <c r="G86"/>
  <c r="G85"/>
  <c r="D85"/>
  <c r="G83"/>
  <c r="G82"/>
  <c r="U81"/>
  <c r="G81"/>
  <c r="G80"/>
  <c r="D80"/>
  <c r="D79"/>
  <c r="G46"/>
  <c r="BQ46"/>
  <c r="G45"/>
  <c r="G43"/>
  <c r="BQ43"/>
  <c r="G42"/>
  <c r="G40"/>
  <c r="BQ40" s="1"/>
  <c r="G39"/>
  <c r="G33"/>
  <c r="G32"/>
  <c r="G31"/>
  <c r="G29"/>
  <c r="G28"/>
  <c r="G27"/>
  <c r="G25"/>
  <c r="G24"/>
  <c r="G23"/>
  <c r="G17"/>
  <c r="BE17" s="1"/>
  <c r="G16"/>
  <c r="G14"/>
  <c r="AA14"/>
  <c r="G13"/>
  <c r="D13"/>
  <c r="D27"/>
  <c r="G11"/>
  <c r="I11" s="1"/>
  <c r="I55" s="1"/>
  <c r="G10"/>
  <c r="D10"/>
  <c r="D39" s="1"/>
  <c r="H1158" i="1"/>
  <c r="G135" i="10"/>
  <c r="BQ134"/>
  <c r="BS134"/>
  <c r="BM134"/>
  <c r="BG134"/>
  <c r="BE32"/>
  <c r="G134"/>
  <c r="BQ133"/>
  <c r="BS133"/>
  <c r="BQ135"/>
  <c r="BQ33"/>
  <c r="BM133"/>
  <c r="BG133"/>
  <c r="G133"/>
  <c r="G132"/>
  <c r="D132"/>
  <c r="G129"/>
  <c r="BQ128"/>
  <c r="BS128"/>
  <c r="BM128"/>
  <c r="G128"/>
  <c r="G127"/>
  <c r="G126"/>
  <c r="D126"/>
  <c r="G124"/>
  <c r="BG123"/>
  <c r="G123"/>
  <c r="BS122"/>
  <c r="G122"/>
  <c r="G121"/>
  <c r="D121"/>
  <c r="G119"/>
  <c r="AU118"/>
  <c r="AO118"/>
  <c r="AI118"/>
  <c r="AC118"/>
  <c r="G118"/>
  <c r="BS117"/>
  <c r="BG117"/>
  <c r="AY117"/>
  <c r="BA117"/>
  <c r="AU117"/>
  <c r="AO117"/>
  <c r="AM119"/>
  <c r="AM29"/>
  <c r="AI117"/>
  <c r="AG119"/>
  <c r="AG29"/>
  <c r="AC117"/>
  <c r="AA119"/>
  <c r="AA29"/>
  <c r="G117"/>
  <c r="G116"/>
  <c r="D116"/>
  <c r="D115"/>
  <c r="G113"/>
  <c r="G112"/>
  <c r="BS111"/>
  <c r="BK111"/>
  <c r="BM111"/>
  <c r="G111"/>
  <c r="G110"/>
  <c r="D110"/>
  <c r="G108"/>
  <c r="BG107"/>
  <c r="G107"/>
  <c r="BS106"/>
  <c r="G106"/>
  <c r="G105"/>
  <c r="D105"/>
  <c r="G103"/>
  <c r="AU102"/>
  <c r="AO102"/>
  <c r="AI102"/>
  <c r="G102"/>
  <c r="BS101"/>
  <c r="BM101"/>
  <c r="BG101"/>
  <c r="AU101"/>
  <c r="AO101"/>
  <c r="G101"/>
  <c r="G100"/>
  <c r="D100"/>
  <c r="G98"/>
  <c r="G97"/>
  <c r="BS96"/>
  <c r="BM96"/>
  <c r="AG96"/>
  <c r="AI96"/>
  <c r="G96"/>
  <c r="G95"/>
  <c r="D95"/>
  <c r="G93"/>
  <c r="AC92"/>
  <c r="G92"/>
  <c r="BS91"/>
  <c r="BM91"/>
  <c r="G91"/>
  <c r="G90"/>
  <c r="D90"/>
  <c r="G88"/>
  <c r="I59"/>
  <c r="BW58"/>
  <c r="BQ58"/>
  <c r="BK58"/>
  <c r="BE58"/>
  <c r="AY58"/>
  <c r="AS58"/>
  <c r="AM58"/>
  <c r="AG58"/>
  <c r="AA58"/>
  <c r="U58"/>
  <c r="O58"/>
  <c r="I58"/>
  <c r="BW56"/>
  <c r="BW55"/>
  <c r="BW54"/>
  <c r="D45"/>
  <c r="AY33"/>
  <c r="AS33"/>
  <c r="AM33"/>
  <c r="AG33"/>
  <c r="AA33"/>
  <c r="U33"/>
  <c r="O33"/>
  <c r="AY32"/>
  <c r="AS32"/>
  <c r="AM32"/>
  <c r="AG32"/>
  <c r="AA32"/>
  <c r="U32"/>
  <c r="O32"/>
  <c r="D31"/>
  <c r="U29"/>
  <c r="O29"/>
  <c r="U28"/>
  <c r="O28"/>
  <c r="AA28"/>
  <c r="AM103"/>
  <c r="AM25"/>
  <c r="AM55"/>
  <c r="AS119"/>
  <c r="AS29"/>
  <c r="AG28"/>
  <c r="AS24"/>
  <c r="AM28"/>
  <c r="BK32"/>
  <c r="AM24"/>
  <c r="AS103"/>
  <c r="AS25"/>
  <c r="BQ32"/>
  <c r="BE135"/>
  <c r="BE33"/>
  <c r="BK135"/>
  <c r="BK33"/>
  <c r="AS28"/>
  <c r="AY118"/>
  <c r="AM54"/>
  <c r="AS54"/>
  <c r="AS55"/>
  <c r="BA118"/>
  <c r="AY28"/>
  <c r="AY119"/>
  <c r="AY29"/>
  <c r="A538" i="1"/>
  <c r="H546"/>
  <c r="H589"/>
  <c r="H590"/>
  <c r="G34"/>
  <c r="F34"/>
  <c r="M8" i="4"/>
  <c r="E30" i="8"/>
  <c r="F7"/>
  <c r="H617" i="1"/>
  <c r="H517"/>
  <c r="H392"/>
  <c r="F5" i="8"/>
  <c r="F4"/>
  <c r="F6"/>
  <c r="G711" i="1"/>
  <c r="G170"/>
  <c r="H175"/>
  <c r="E160" s="1"/>
  <c r="H162" s="1"/>
  <c r="H166" s="1"/>
  <c r="G949"/>
  <c r="A577"/>
  <c r="A572"/>
  <c r="A567"/>
  <c r="A477"/>
  <c r="A472"/>
  <c r="A467"/>
  <c r="H659"/>
  <c r="H860"/>
  <c r="H1094"/>
  <c r="D4" i="4"/>
  <c r="D6"/>
  <c r="G693" i="1"/>
  <c r="A1436"/>
  <c r="AV44" i="4"/>
  <c r="AT43"/>
  <c r="AT42"/>
  <c r="AT41"/>
  <c r="AT40"/>
  <c r="AT39"/>
  <c r="AT38"/>
  <c r="AT37"/>
  <c r="AT36"/>
  <c r="AT35"/>
  <c r="AT34"/>
  <c r="AT33"/>
  <c r="H591" i="1"/>
  <c r="H491"/>
  <c r="H242"/>
  <c r="G702"/>
  <c r="H901"/>
  <c r="H1060"/>
  <c r="G942"/>
  <c r="G1226"/>
  <c r="H1229"/>
  <c r="H1230" s="1"/>
  <c r="H911"/>
  <c r="H954"/>
  <c r="H716"/>
  <c r="E700" s="1"/>
  <c r="H665"/>
  <c r="E692"/>
  <c r="H554"/>
  <c r="H454"/>
  <c r="H118"/>
  <c r="A1286"/>
  <c r="A1562"/>
  <c r="A1097"/>
  <c r="H1107"/>
  <c r="H1443"/>
  <c r="H1447"/>
  <c r="H1451"/>
  <c r="H1439"/>
  <c r="C1070"/>
  <c r="H1058"/>
  <c r="G1047"/>
  <c r="C1068"/>
  <c r="G1044"/>
  <c r="C1066"/>
  <c r="G1041"/>
  <c r="C1064"/>
  <c r="H1013"/>
  <c r="H1059"/>
  <c r="H1397"/>
  <c r="H1403"/>
  <c r="H1407"/>
  <c r="H1393"/>
  <c r="C870"/>
  <c r="G848"/>
  <c r="C868"/>
  <c r="G845"/>
  <c r="C866"/>
  <c r="G842"/>
  <c r="C864"/>
  <c r="H812"/>
  <c r="H813"/>
  <c r="H815"/>
  <c r="H817"/>
  <c r="E767"/>
  <c r="B769"/>
  <c r="H749"/>
  <c r="B773"/>
  <c r="H503"/>
  <c r="H603"/>
  <c r="A636"/>
  <c r="A1150"/>
  <c r="H592"/>
  <c r="A536"/>
  <c r="H550"/>
  <c r="H596"/>
  <c r="H492"/>
  <c r="A436"/>
  <c r="C370"/>
  <c r="G347"/>
  <c r="C368"/>
  <c r="G344"/>
  <c r="C366"/>
  <c r="G341"/>
  <c r="C364"/>
  <c r="H243"/>
  <c r="G161"/>
  <c r="A100"/>
  <c r="A1240"/>
  <c r="H36"/>
  <c r="H671"/>
  <c r="H1156"/>
  <c r="H1290"/>
  <c r="H35"/>
  <c r="H33"/>
  <c r="H1449"/>
  <c r="H1453"/>
  <c r="H240"/>
  <c r="H241"/>
  <c r="H358"/>
  <c r="BS81" i="10"/>
  <c r="A102" i="1"/>
  <c r="H1344"/>
  <c r="H1345"/>
  <c r="H446"/>
  <c r="H452"/>
  <c r="H114"/>
  <c r="H247"/>
  <c r="H1014"/>
  <c r="H1016"/>
  <c r="H1018"/>
  <c r="H907"/>
  <c r="H1092"/>
  <c r="H489"/>
  <c r="H490"/>
  <c r="BM81" i="10"/>
  <c r="BC12" i="4"/>
  <c r="AG48"/>
  <c r="AE47"/>
  <c r="AE46"/>
  <c r="AE45"/>
  <c r="AE44"/>
  <c r="AE43"/>
  <c r="AE42"/>
  <c r="AE41"/>
  <c r="AE40"/>
  <c r="AE39"/>
  <c r="AE38"/>
  <c r="AE37"/>
  <c r="AE36"/>
  <c r="AE35"/>
  <c r="D8"/>
  <c r="H440" i="1"/>
  <c r="H655"/>
  <c r="H897" s="1"/>
  <c r="H1061" s="1"/>
  <c r="H1062" s="1"/>
  <c r="H540"/>
  <c r="H104"/>
  <c r="H361" s="1"/>
  <c r="H362" s="1"/>
  <c r="B8" i="4"/>
  <c r="C8"/>
  <c r="AN27"/>
  <c r="AH27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7"/>
  <c r="B140" i="1"/>
  <c r="B141" s="1"/>
  <c r="H112"/>
  <c r="H248"/>
  <c r="H116"/>
  <c r="H313" s="1"/>
  <c r="H314" s="1"/>
  <c r="H316" s="1"/>
  <c r="H318" s="1"/>
  <c r="H322" s="1"/>
  <c r="H456"/>
  <c r="H120"/>
  <c r="H320"/>
  <c r="H913"/>
  <c r="H1020"/>
  <c r="H556"/>
  <c r="H667"/>
  <c r="H819" s="1"/>
  <c r="H821" s="1"/>
  <c r="H873" s="1"/>
  <c r="H875" s="1"/>
  <c r="H108"/>
  <c r="H360"/>
  <c r="A438"/>
  <c r="Q81" i="10"/>
  <c r="H244" i="1"/>
  <c r="H448"/>
  <c r="H1099"/>
  <c r="D773"/>
  <c r="H773"/>
  <c r="B1097"/>
  <c r="H593"/>
  <c r="H249"/>
  <c r="H252"/>
  <c r="H256" s="1"/>
  <c r="H258" s="1"/>
  <c r="H394" s="1"/>
  <c r="A1256"/>
  <c r="W4" i="8"/>
  <c r="H548" i="1"/>
  <c r="H597"/>
  <c r="H598"/>
  <c r="H601"/>
  <c r="H605" s="1"/>
  <c r="H607" s="1"/>
  <c r="H619" s="1"/>
  <c r="H444"/>
  <c r="H493"/>
  <c r="H552"/>
  <c r="A1342"/>
  <c r="A1490"/>
  <c r="A1248"/>
  <c r="A511"/>
  <c r="C1288"/>
  <c r="H124"/>
  <c r="H390"/>
  <c r="H1242"/>
  <c r="F59"/>
  <c r="H34"/>
  <c r="H37"/>
  <c r="H5" i="8"/>
  <c r="G5"/>
  <c r="W5"/>
  <c r="A1542" i="1"/>
  <c r="A1552"/>
  <c r="H560"/>
  <c r="H615"/>
  <c r="H1258"/>
  <c r="H544"/>
  <c r="A1238"/>
  <c r="H450"/>
  <c r="H496"/>
  <c r="A611"/>
  <c r="W81" i="10"/>
  <c r="H1097" i="1"/>
  <c r="H1401"/>
  <c r="H1405"/>
  <c r="H1022"/>
  <c r="H1073"/>
  <c r="H1075" s="1"/>
  <c r="H1347"/>
  <c r="H1349"/>
  <c r="H1355" s="1"/>
  <c r="H1359" s="1"/>
  <c r="H1353"/>
  <c r="H1357" s="1"/>
  <c r="H497"/>
  <c r="H498" s="1"/>
  <c r="H501" s="1"/>
  <c r="H505" s="1"/>
  <c r="H507" s="1"/>
  <c r="H519" s="1"/>
  <c r="E159"/>
  <c r="E158"/>
  <c r="E699"/>
  <c r="H703" s="1"/>
  <c r="H707" s="1"/>
  <c r="E157"/>
  <c r="E691"/>
  <c r="H694" s="1"/>
  <c r="H706" s="1"/>
  <c r="H708" s="1"/>
  <c r="D42" i="10"/>
  <c r="E940" i="1"/>
  <c r="E941"/>
  <c r="G22" i="8"/>
  <c r="W7"/>
  <c r="E701" i="1"/>
  <c r="D23" i="10"/>
  <c r="H6" i="8"/>
  <c r="H1103" i="1"/>
  <c r="H1108"/>
  <c r="H1109"/>
  <c r="H1114"/>
  <c r="H1160"/>
  <c r="B7" i="8" s="1"/>
  <c r="I5"/>
  <c r="H460" i="1"/>
  <c r="A1560"/>
  <c r="A1303"/>
  <c r="A1540"/>
  <c r="A1550"/>
  <c r="H943"/>
  <c r="H946" s="1"/>
  <c r="G6" i="8"/>
  <c r="I6"/>
  <c r="H1250" i="1"/>
  <c r="H515"/>
  <c r="K6" i="8"/>
  <c r="V6"/>
  <c r="H949" i="1" l="1"/>
  <c r="H951" s="1"/>
  <c r="H1076" s="1"/>
  <c r="H711"/>
  <c r="H713" s="1"/>
  <c r="H876" s="1"/>
  <c r="B4" i="8"/>
  <c r="H472" i="1"/>
  <c r="H572"/>
  <c r="H373"/>
  <c r="I60" i="10"/>
  <c r="G4" i="8"/>
  <c r="I4"/>
  <c r="B142" i="1"/>
  <c r="G141"/>
  <c r="D141"/>
  <c r="H370"/>
  <c r="H372"/>
  <c r="H366"/>
  <c r="H368"/>
  <c r="H364"/>
  <c r="I7" i="8"/>
  <c r="G7"/>
  <c r="B6"/>
  <c r="L5"/>
  <c r="H521" i="1" s="1"/>
  <c r="B5" i="8"/>
  <c r="H1072" i="1"/>
  <c r="H1068"/>
  <c r="H1070"/>
  <c r="H1064"/>
  <c r="H1066"/>
  <c r="K5" i="8"/>
  <c r="V5" s="1"/>
  <c r="G140" i="1"/>
  <c r="H861"/>
  <c r="H359"/>
  <c r="Q82" i="10" s="1"/>
  <c r="D140" i="1"/>
  <c r="H862" l="1"/>
  <c r="H830"/>
  <c r="H1143" s="1"/>
  <c r="L6" i="8"/>
  <c r="H621" i="1" s="1"/>
  <c r="U82" i="10"/>
  <c r="H375" i="1"/>
  <c r="H1078"/>
  <c r="G142"/>
  <c r="D142"/>
  <c r="E142" s="1"/>
  <c r="B143"/>
  <c r="H523"/>
  <c r="K4" i="8"/>
  <c r="V4" s="1"/>
  <c r="L4"/>
  <c r="H396" i="1" s="1"/>
  <c r="E140"/>
  <c r="O24" i="10"/>
  <c r="O54" s="1"/>
  <c r="O83"/>
  <c r="O25" s="1"/>
  <c r="O55" s="1"/>
  <c r="K7" i="8"/>
  <c r="V7" s="1"/>
  <c r="L7"/>
  <c r="H1162" i="1" s="1"/>
  <c r="E141"/>
  <c r="H1141" l="1"/>
  <c r="H1457"/>
  <c r="H1506" s="1"/>
  <c r="H1459"/>
  <c r="H1508" s="1"/>
  <c r="H872"/>
  <c r="H868"/>
  <c r="H864"/>
  <c r="H878" s="1"/>
  <c r="H866"/>
  <c r="H870"/>
  <c r="G143"/>
  <c r="D143"/>
  <c r="E143" s="1"/>
  <c r="B144"/>
  <c r="U86" i="10"/>
  <c r="W82"/>
  <c r="AA87"/>
  <c r="H1164" i="1"/>
  <c r="C5" i="8"/>
  <c r="O59" i="10"/>
  <c r="O60"/>
  <c r="H398" i="1"/>
  <c r="H623"/>
  <c r="C7" i="8" l="1"/>
  <c r="C6"/>
  <c r="BE118" i="10"/>
  <c r="AA86"/>
  <c r="Q5" i="8"/>
  <c r="M5" s="1"/>
  <c r="H525" i="1" s="1"/>
  <c r="U83" i="10"/>
  <c r="C4" i="8"/>
  <c r="H1411" i="1"/>
  <c r="H1502" s="1"/>
  <c r="H1139"/>
  <c r="H1145" s="1"/>
  <c r="H1154" s="1"/>
  <c r="H1413"/>
  <c r="H1504" s="1"/>
  <c r="D144"/>
  <c r="E144" s="1"/>
  <c r="B145"/>
  <c r="G144"/>
  <c r="H527" l="1"/>
  <c r="H529"/>
  <c r="H1251" s="1"/>
  <c r="BQ118" i="10"/>
  <c r="BS118" s="1"/>
  <c r="BK123"/>
  <c r="BE122"/>
  <c r="BG118"/>
  <c r="AG92"/>
  <c r="AI92" s="1"/>
  <c r="AA91"/>
  <c r="Q7" i="8"/>
  <c r="M7" s="1"/>
  <c r="H1166" i="1" s="1"/>
  <c r="H1510"/>
  <c r="H1562" s="1"/>
  <c r="Q4" i="8"/>
  <c r="M4" s="1"/>
  <c r="H400" i="1" s="1"/>
  <c r="D145"/>
  <c r="G145"/>
  <c r="B146"/>
  <c r="H1289"/>
  <c r="Q6" i="8"/>
  <c r="M6" s="1"/>
  <c r="H625" i="1" s="1"/>
  <c r="H627" l="1"/>
  <c r="H629"/>
  <c r="H1259" s="1"/>
  <c r="AG91" i="10"/>
  <c r="BK87"/>
  <c r="AC91"/>
  <c r="AA93" s="1"/>
  <c r="BK122"/>
  <c r="BG122"/>
  <c r="BE124" s="1"/>
  <c r="D5" i="8"/>
  <c r="E5" s="1"/>
  <c r="H531" i="1"/>
  <c r="B147"/>
  <c r="D146"/>
  <c r="G146"/>
  <c r="H1168"/>
  <c r="H1170"/>
  <c r="H1291" s="1"/>
  <c r="H1293" s="1"/>
  <c r="H1552" s="1"/>
  <c r="BE28" i="10"/>
  <c r="BE54" s="1"/>
  <c r="BE119"/>
  <c r="BE29" s="1"/>
  <c r="BQ28"/>
  <c r="BQ54" s="1"/>
  <c r="BQ119"/>
  <c r="BQ29" s="1"/>
  <c r="H1292" i="1"/>
  <c r="H402"/>
  <c r="H404"/>
  <c r="H1243" s="1"/>
  <c r="BQ123" i="10"/>
  <c r="BS123" s="1"/>
  <c r="BQ124" s="1"/>
  <c r="BM123"/>
  <c r="H1174" i="1"/>
  <c r="E145"/>
  <c r="D4" i="8" l="1"/>
  <c r="E4" s="1"/>
  <c r="H406" i="1"/>
  <c r="D7" i="8"/>
  <c r="E7" s="1"/>
  <c r="C30" s="1"/>
  <c r="H1172" i="1"/>
  <c r="G1304" s="1"/>
  <c r="D6" i="8"/>
  <c r="E6" s="1"/>
  <c r="H631" i="1"/>
  <c r="D147"/>
  <c r="G147"/>
  <c r="B148"/>
  <c r="BM122" i="10"/>
  <c r="BK127"/>
  <c r="H1294" i="1"/>
  <c r="H1296" s="1"/>
  <c r="H1542"/>
  <c r="AG97" i="10"/>
  <c r="AG101"/>
  <c r="AI91"/>
  <c r="E146" i="1"/>
  <c r="BK82" i="10"/>
  <c r="BM87"/>
  <c r="BQ87"/>
  <c r="BS87" s="1"/>
  <c r="B149" i="1" l="1"/>
  <c r="D148"/>
  <c r="G148"/>
  <c r="C29" i="8"/>
  <c r="AI97" i="10"/>
  <c r="AG98" s="1"/>
  <c r="BK92"/>
  <c r="BA94"/>
  <c r="BK124"/>
  <c r="BK29" s="1"/>
  <c r="BK28"/>
  <c r="BK54" s="1"/>
  <c r="G1303" i="1"/>
  <c r="BM82" i="10"/>
  <c r="BQ82"/>
  <c r="BS82" s="1"/>
  <c r="AI101"/>
  <c r="AG103" s="1"/>
  <c r="BK97"/>
  <c r="AY101"/>
  <c r="BQ127"/>
  <c r="BS127" s="1"/>
  <c r="BQ129" s="1"/>
  <c r="BM127"/>
  <c r="BK129" s="1"/>
  <c r="E147" i="1"/>
  <c r="AG93" i="10"/>
  <c r="AG25" s="1"/>
  <c r="AG55" s="1"/>
  <c r="AG24"/>
  <c r="AG54" s="1"/>
  <c r="B30" i="8"/>
  <c r="H1304" i="1"/>
  <c r="G149" l="1"/>
  <c r="D149"/>
  <c r="B150"/>
  <c r="H1303"/>
  <c r="A1312" s="1"/>
  <c r="B29" i="8"/>
  <c r="BQ92" i="10"/>
  <c r="BS92" s="1"/>
  <c r="BQ93" s="1"/>
  <c r="BM92"/>
  <c r="BK93" s="1"/>
  <c r="E148" i="1"/>
  <c r="BQ97" i="10"/>
  <c r="BS97" s="1"/>
  <c r="BQ98" s="1"/>
  <c r="BM97"/>
  <c r="BK98" s="1"/>
  <c r="AY102"/>
  <c r="BA101"/>
  <c r="BK83"/>
  <c r="BK25" s="1"/>
  <c r="BK55" s="1"/>
  <c r="BK24"/>
  <c r="BQ83"/>
  <c r="BQ25" s="1"/>
  <c r="BQ55" s="1"/>
  <c r="BQ24"/>
  <c r="E149" i="1" l="1"/>
  <c r="G150"/>
  <c r="D150"/>
  <c r="B151"/>
  <c r="BA102" i="10"/>
  <c r="BE102"/>
  <c r="AY103"/>
  <c r="AY25" s="1"/>
  <c r="AY55" s="1"/>
  <c r="AY24"/>
  <c r="AY54" s="1"/>
  <c r="BG102" l="1"/>
  <c r="BE106"/>
  <c r="BK107"/>
  <c r="E150" i="1"/>
  <c r="D151"/>
  <c r="G151"/>
  <c r="B152"/>
  <c r="BE103" i="10" l="1"/>
  <c r="BE25" s="1"/>
  <c r="BE55" s="1"/>
  <c r="BE24"/>
  <c r="BK106"/>
  <c r="BK102"/>
  <c r="BG106"/>
  <c r="BE108" s="1"/>
  <c r="E151" i="1"/>
  <c r="BM107" i="10"/>
  <c r="BQ107"/>
  <c r="BS107" s="1"/>
  <c r="BQ108" s="1"/>
  <c r="G152" i="1"/>
  <c r="G153" s="1"/>
  <c r="D152"/>
  <c r="BK112" i="10" l="1"/>
  <c r="BM106"/>
  <c r="BK108" s="1"/>
  <c r="E152" i="1"/>
  <c r="H154" s="1"/>
  <c r="H165" s="1"/>
  <c r="H167" s="1"/>
  <c r="H170" s="1"/>
  <c r="H172" s="1"/>
  <c r="BQ102" i="10"/>
  <c r="BS102" s="1"/>
  <c r="BQ103" s="1"/>
  <c r="BM102"/>
  <c r="BK103" s="1"/>
  <c r="BQ112" l="1"/>
  <c r="BS112" s="1"/>
  <c r="BQ113" s="1"/>
  <c r="BM112"/>
  <c r="BK113" s="1"/>
  <c r="H376" i="1"/>
  <c r="H378" s="1"/>
  <c r="H567"/>
  <c r="H467"/>
  <c r="BS86" i="10" l="1"/>
  <c r="BQ88" s="1"/>
  <c r="BM86"/>
  <c r="BK88" s="1"/>
  <c r="W87"/>
  <c r="W86"/>
  <c r="AC87"/>
  <c r="AC86"/>
  <c r="H577" i="1"/>
  <c r="H613" s="1"/>
  <c r="H1365"/>
  <c r="H1494" s="1"/>
  <c r="H388"/>
  <c r="H1363"/>
  <c r="H1492" s="1"/>
  <c r="H477"/>
  <c r="H513" s="1"/>
  <c r="H1241" l="1"/>
  <c r="H408"/>
  <c r="AA88" i="10"/>
  <c r="AA25" s="1"/>
  <c r="AA55" s="1"/>
  <c r="AA24"/>
  <c r="AA54" s="1"/>
  <c r="H533" i="1"/>
  <c r="H1249"/>
  <c r="H633"/>
  <c r="H1257"/>
  <c r="H1496"/>
  <c r="U88" i="10"/>
  <c r="U25" s="1"/>
  <c r="U55" s="1"/>
  <c r="U24"/>
  <c r="U54" s="1"/>
  <c r="H1560" i="1" l="1"/>
  <c r="G1565" s="1"/>
  <c r="G1513"/>
  <c r="H1244"/>
  <c r="H1245"/>
  <c r="BK60" i="10"/>
  <c r="BE60"/>
  <c r="AM60"/>
  <c r="AS60"/>
  <c r="AY60"/>
  <c r="AG60"/>
  <c r="U60"/>
  <c r="AA60"/>
  <c r="BQ60"/>
  <c r="U56" s="1"/>
  <c r="H1253" i="1"/>
  <c r="H1252"/>
  <c r="AM59" i="10"/>
  <c r="U59"/>
  <c r="AG59"/>
  <c r="AY59"/>
  <c r="BK59"/>
  <c r="AS59"/>
  <c r="AA59"/>
  <c r="BQ59"/>
  <c r="BE59"/>
  <c r="H1260" i="1"/>
  <c r="H1262" s="1"/>
  <c r="H1261"/>
  <c r="AA56" i="10" l="1"/>
  <c r="AA61"/>
  <c r="AS61"/>
  <c r="AM56"/>
  <c r="AS56"/>
  <c r="BQ61"/>
  <c r="I56"/>
  <c r="I61"/>
  <c r="O56"/>
  <c r="O61"/>
  <c r="AG56"/>
  <c r="BK56"/>
  <c r="BQ56"/>
  <c r="AY56"/>
  <c r="BE56"/>
  <c r="AY61"/>
  <c r="BK61"/>
  <c r="H1246" i="1"/>
  <c r="H1540"/>
  <c r="G1545" s="1"/>
  <c r="AG61" i="10"/>
  <c r="BE61"/>
  <c r="H1254" i="1"/>
  <c r="H1272" s="1"/>
  <c r="H1299" s="1"/>
  <c r="U61" i="10"/>
  <c r="AM61"/>
  <c r="H1550" i="1"/>
  <c r="G1555" s="1"/>
  <c r="G1568" l="1"/>
</calcChain>
</file>

<file path=xl/sharedStrings.xml><?xml version="1.0" encoding="utf-8"?>
<sst xmlns="http://schemas.openxmlformats.org/spreadsheetml/2006/main" count="1377" uniqueCount="514">
  <si>
    <t>COEFICIENTE DE ENCHIMENTO DA CISTERNA</t>
  </si>
  <si>
    <t>EMPOLAMENTO ESTIMADO</t>
  </si>
  <si>
    <t>CICLO DE DRAGAGEM</t>
  </si>
  <si>
    <t>DISTÂNCIA MÉDIA DE TRANSPORTE (DMT)</t>
  </si>
  <si>
    <t>MN</t>
  </si>
  <si>
    <t>%</t>
  </si>
  <si>
    <t>TEMPO MÉDIO DE CARREGAMENTO</t>
  </si>
  <si>
    <t>VELOCIDADE MÉDIA DE NAVEGAÇÃO</t>
  </si>
  <si>
    <t>CICLO DE DRAGAGEM ESTIMADO</t>
  </si>
  <si>
    <t>TEMPO MÉDIO DE VIAGEM ATÉ A ÁREA DE DESCARTE (IDA E VOLTA)</t>
  </si>
  <si>
    <t>HORAS DE OPERAÇÃO MENSAIS ESTIMADAS</t>
  </si>
  <si>
    <t xml:space="preserve">NUMERO ESTIMADO DE CICLOS MENSAIS </t>
  </si>
  <si>
    <t>TEMPO MÉDIO DE MANOBRAS (POSIC.E DESCARGA)</t>
  </si>
  <si>
    <t>m³</t>
  </si>
  <si>
    <t>MN/h</t>
  </si>
  <si>
    <t>h</t>
  </si>
  <si>
    <t>h/mês</t>
  </si>
  <si>
    <t>Cicl./mês</t>
  </si>
  <si>
    <t>m³/mês</t>
  </si>
  <si>
    <t>CARGA REAL ESTIMADA (IN SITU)</t>
  </si>
  <si>
    <t>DRAGA AUTOTRANSPORTADORA (TSHD)</t>
  </si>
  <si>
    <t>Euros</t>
  </si>
  <si>
    <t>CONVERSÃO DA MOEDA</t>
  </si>
  <si>
    <t>Reais</t>
  </si>
  <si>
    <t>POTENCIA TOTAL INSTALADA</t>
  </si>
  <si>
    <t>kw</t>
  </si>
  <si>
    <t>R$/mês</t>
  </si>
  <si>
    <t>SEGURO</t>
  </si>
  <si>
    <t xml:space="preserve">DEPRECIAÇÃO </t>
  </si>
  <si>
    <t>CAPACIDADE NOMINAL DA CISTERNA</t>
  </si>
  <si>
    <t>Cotação média do Euro no mês base</t>
  </si>
  <si>
    <t>Draga Tipo</t>
  </si>
  <si>
    <t>Autotransportadora</t>
  </si>
  <si>
    <t>Capacidade nominal da cisterna</t>
  </si>
  <si>
    <t>Distância média de transporte (DMT), até a área de disp. do material dragado</t>
  </si>
  <si>
    <t xml:space="preserve">Potencia total instalada </t>
  </si>
  <si>
    <t>(CIRIA) *</t>
  </si>
  <si>
    <t>kW</t>
  </si>
  <si>
    <t>(TSHD)</t>
  </si>
  <si>
    <t xml:space="preserve">(CIRIA)* - </t>
  </si>
  <si>
    <t>A guide to cost standards for dredging equipment - R N Bray</t>
  </si>
  <si>
    <t>CUSTO DE MÃO DE OBRA</t>
  </si>
  <si>
    <t>Comandante</t>
  </si>
  <si>
    <t>30 SM</t>
  </si>
  <si>
    <t>MCB Imediato</t>
  </si>
  <si>
    <t>22 SM</t>
  </si>
  <si>
    <t xml:space="preserve">MCB </t>
  </si>
  <si>
    <t>12 SM</t>
  </si>
  <si>
    <t>Oficial de Máquinas</t>
  </si>
  <si>
    <t>Cond. Máquinas</t>
  </si>
  <si>
    <t>Mar. Convés (MNC)</t>
  </si>
  <si>
    <t>4 SM</t>
  </si>
  <si>
    <t>Draguista (MNC)</t>
  </si>
  <si>
    <t>Mar. Máquinas</t>
  </si>
  <si>
    <t>Cozinheiro</t>
  </si>
  <si>
    <t>7 SM</t>
  </si>
  <si>
    <t>Taifeiro</t>
  </si>
  <si>
    <t>Mecânico</t>
  </si>
  <si>
    <t>Eletricista</t>
  </si>
  <si>
    <t>Soldador</t>
  </si>
  <si>
    <t>Total de tripulantes</t>
  </si>
  <si>
    <t>Custo</t>
  </si>
  <si>
    <t>Mão de obra administrativa</t>
  </si>
  <si>
    <t>Engenheiro</t>
  </si>
  <si>
    <t>25 SM</t>
  </si>
  <si>
    <t>Enc. Administrativo</t>
  </si>
  <si>
    <t>Motorista</t>
  </si>
  <si>
    <t>3 SM</t>
  </si>
  <si>
    <t>Sondador</t>
  </si>
  <si>
    <t>Total</t>
  </si>
  <si>
    <t>Composição final de mão de obra</t>
  </si>
  <si>
    <t>Operacional (2 tripulações)</t>
  </si>
  <si>
    <t>Administrativa</t>
  </si>
  <si>
    <t>Encargos Sociais</t>
  </si>
  <si>
    <t>CUSTO TOTAL DA MÃO DE OBRA</t>
  </si>
  <si>
    <t>Salário Mínimo Federal</t>
  </si>
  <si>
    <t>Salário mínimo federal</t>
  </si>
  <si>
    <t>(CIRIA)*</t>
  </si>
  <si>
    <t>Parâmetros:</t>
  </si>
  <si>
    <t>Potencia em HP</t>
  </si>
  <si>
    <t>1 kW = 1,3415 HP</t>
  </si>
  <si>
    <t>HP</t>
  </si>
  <si>
    <t>l/dia</t>
  </si>
  <si>
    <t>Consumo de combustível em litros/dia</t>
  </si>
  <si>
    <t>Consumo mensal</t>
  </si>
  <si>
    <t>l/mês</t>
  </si>
  <si>
    <t>Preço médio do combustível</t>
  </si>
  <si>
    <t>CUSTO MENSAL DE COMBUSTÍVEL (estimado)</t>
  </si>
  <si>
    <t xml:space="preserve">Preço da draga tipo </t>
  </si>
  <si>
    <t xml:space="preserve">ADOTADO O FATOR </t>
  </si>
  <si>
    <t>MANUTENÃO PREVENTIVA</t>
  </si>
  <si>
    <t xml:space="preserve">JUROS </t>
  </si>
  <si>
    <t xml:space="preserve">COMBUSTÍVEL </t>
  </si>
  <si>
    <t xml:space="preserve">CUSTO ESTIMADO OPERACIONAL MENSAL </t>
  </si>
  <si>
    <t>Mão de obra operacional (30 por 30) por tripulação</t>
  </si>
  <si>
    <t>fator</t>
  </si>
  <si>
    <t xml:space="preserve">ÓLEO LUBRIFICANTE </t>
  </si>
  <si>
    <t>km</t>
  </si>
  <si>
    <t>Velocidade média de delocamento</t>
  </si>
  <si>
    <t>Tempo médio de deslocamento</t>
  </si>
  <si>
    <t>dias</t>
  </si>
  <si>
    <t>Tempo médio de instalação (sugerido pela SEP)</t>
  </si>
  <si>
    <t>Mobilização</t>
  </si>
  <si>
    <t>Desmobilização</t>
  </si>
  <si>
    <t>CUSTOS</t>
  </si>
  <si>
    <t>MOBILIZAÇÃO</t>
  </si>
  <si>
    <t xml:space="preserve">DESMOBILIZAÇÃO </t>
  </si>
  <si>
    <t>R$/m³</t>
  </si>
  <si>
    <t>BIBLIOGRAFIA:</t>
  </si>
  <si>
    <t>BRAY, R.N..A guide to cost standards for dredging equipment 2009. , CIRIA   C 684, London, UK, 2009.</t>
  </si>
  <si>
    <t>Serão adotadas 02 (duas) tripulações marítimas, trabalhando no regime de 30 x 30 dias</t>
  </si>
  <si>
    <t xml:space="preserve">Potência total instalada </t>
  </si>
  <si>
    <t>O valor de consumo adotado corresponde ao dado técnico obtido na publicação:</t>
  </si>
  <si>
    <t xml:space="preserve">ADOTADO </t>
  </si>
  <si>
    <t>Para a execução desta Composição de Preços Unitários utilizamos os seguintes parâmetros:</t>
  </si>
  <si>
    <t>obra, com prazos e preços condizentes a serviços deste porte.</t>
  </si>
  <si>
    <t>tecnicamente, não excedam os prazos e preços resultantes desta CPU.</t>
  </si>
  <si>
    <t>A indicação do(s) equipamento(s) de dragagem visa ao nosso julgamento, proporcionar a melhor execução da</t>
  </si>
  <si>
    <t xml:space="preserve">Todavia entendemos, que outros “arranjos técnicos” poderão ser apresentados desde que, comprovados </t>
  </si>
  <si>
    <t>Material a ser dragado</t>
  </si>
  <si>
    <t>PARÂMETROS CONSIDERADOS:</t>
  </si>
  <si>
    <t>Coeficiente de enchimento da cisterna</t>
  </si>
  <si>
    <t>Empolamento estimado</t>
  </si>
  <si>
    <t>Tempo médio de carregamento</t>
  </si>
  <si>
    <t xml:space="preserve">Independentemente do porte de uma draga auto transportadora o seu tempo médio de carregamento pode </t>
  </si>
  <si>
    <t>ser considerado como similar, pois quão maior for a cisterna, maior será a capacidade de bombeamento.</t>
  </si>
  <si>
    <t>Variações no tempo de carregamento ocorem em função do tipo de material a ser dragado, perdas pelo</t>
  </si>
  <si>
    <t>"over flow", concentração de material na mistura, etc.</t>
  </si>
  <si>
    <t>Tempo médio de manobras (posicionamento e descarga)</t>
  </si>
  <si>
    <t xml:space="preserve">O tempo médio de manobras para posicionar uma draga na área de disposição de material autorizada e sua </t>
  </si>
  <si>
    <t xml:space="preserve">plena descarga geralmente é constante, podendo sofrer alterações devido as condições de mar por ocasião </t>
  </si>
  <si>
    <t xml:space="preserve">da manobra. Considerando a desaceleração da draga, o pleno descarte do material e a aceleração até a </t>
  </si>
  <si>
    <t>velocidade de retorno, adotaremos para o tempo médio de manobras a grandeza de 12 minutos ou 0,2h.</t>
  </si>
  <si>
    <t>Horas de operação mensal estimadas</t>
  </si>
  <si>
    <t>Das horas disponíveis mensais para a operação de dragagem devemos diminuir as horas relativas a eventos</t>
  </si>
  <si>
    <t>paralisações para abastecimento; paralisações para recebimento de rancho; paralisações devido a manutenção</t>
  </si>
  <si>
    <t>corretiva; paralisações por condições adversas de clima; paralisações por trafego de navios; paralisações para</t>
  </si>
  <si>
    <t>Fica claro que quantificar temporalmente estas paralisações é impossível, todavia as empresas de dragagem</t>
  </si>
  <si>
    <t>buscam obter uma eficiência operacional da ordem de 80%</t>
  </si>
  <si>
    <t>Nesta CPU, para as horas de operação mensal estimadas, adotaremos a grandeza de 576h/mês</t>
  </si>
  <si>
    <t>da própria operação de dragagem, quais sejam:</t>
  </si>
  <si>
    <t>GRANDES REPAROS E OVERHAULING</t>
  </si>
  <si>
    <t>Grandes reparos e "overhauling"</t>
  </si>
  <si>
    <t>VALOR DO EURO EM REAIS</t>
  </si>
  <si>
    <t>Geralmente quantificado como um percentual em relação ao custo de aquisição do equipamento.</t>
  </si>
  <si>
    <t xml:space="preserve">Segundo  ( R N Bray et al., 2005) o fator mensal a ser aplicado é: </t>
  </si>
  <si>
    <t>Manutenção preventiva</t>
  </si>
  <si>
    <t>Geralmente quantificada como um percentual em relação ao custo de aquisição do equipamento.</t>
  </si>
  <si>
    <t>Seguro</t>
  </si>
  <si>
    <t xml:space="preserve">Segundo  ( R N Bray et al., 2005) assume-se um premio anual de 2,5% do valor do equipamento </t>
  </si>
  <si>
    <t xml:space="preserve">Portanto o custo mensal será calculado pelo fator: </t>
  </si>
  <si>
    <t>Juros</t>
  </si>
  <si>
    <t>Considerado juros anuais de 6% do valor do equipamento, menos valor rersidual de 10%</t>
  </si>
  <si>
    <t>Portanto o custo mensal dos juros será calculado pelo fator:</t>
  </si>
  <si>
    <t>(Fonte: CENTRAN)</t>
  </si>
  <si>
    <t>Depreciação</t>
  </si>
  <si>
    <t>Óleo lubrificante</t>
  </si>
  <si>
    <t xml:space="preserve">Segundo  ( R N Bray et al., 2005) o custo mensal do óleo lubrificante é de 10% em relação ao custo mensal </t>
  </si>
  <si>
    <t>do combustível</t>
  </si>
  <si>
    <t>BRAY, R.N., BATES, A.D., LAND, J.M..Dredging / A Handbook for Engineers., 2ª edição, Butterworth Heinemann, 2005.</t>
  </si>
  <si>
    <t>realização de batimetrias; paralisação para troca de tripulação.</t>
  </si>
  <si>
    <t xml:space="preserve"> “Dredging / A Handbook for Engineers”  R.N. Bray , A.D. Bates, J.M. Land, 2ª ed., item 10.5.1, sub item 1</t>
  </si>
  <si>
    <t>Nesta CPU consideraremos como tempo médio de carregamento a grandeza de 60 minutos ou 1,0 h.</t>
  </si>
  <si>
    <t>Fonte: SEP</t>
  </si>
  <si>
    <t>PREÇOS COM BDI</t>
  </si>
  <si>
    <t xml:space="preserve">Para a execução desta CPU nos baseamos em publicações reconhecidas internacionalmente no mercado de </t>
  </si>
  <si>
    <t>dragagem, fontes nacionais pertinentes a este mercado bem como dados de campo pretéritos existentes em</t>
  </si>
  <si>
    <t>nosso arquivo técnico.</t>
  </si>
  <si>
    <t>PREÇO DE CUSTO DOS SERVIÇOS DE DRAGAGEM</t>
  </si>
  <si>
    <t>distribuídos:</t>
  </si>
  <si>
    <t>Volume total a ser dragado  (número inteiro)</t>
  </si>
  <si>
    <t>R$</t>
  </si>
  <si>
    <t>a condição de manobrabilidade, sugerimos a utilização dos seguintes equipamentos de dragagem:</t>
  </si>
  <si>
    <t>(SR)</t>
  </si>
  <si>
    <t xml:space="preserve">Preço estimado da draga tipo </t>
  </si>
  <si>
    <t>(IHC)*</t>
  </si>
  <si>
    <t xml:space="preserve">Preço médio do combustível  </t>
  </si>
  <si>
    <t>IHC MERWEDE</t>
  </si>
  <si>
    <t>(Fonte: PETROBRAS)</t>
  </si>
  <si>
    <t>Volume aproximado a ser dragado    (número inteiro)</t>
  </si>
  <si>
    <t xml:space="preserve">Preço médio do combustível (Fonte: PETROBRAS)  </t>
  </si>
  <si>
    <t>PREÇO MÉDIO DE UMA DRAGA NOVA   (FONTE:CIRIA)</t>
  </si>
  <si>
    <t>Este equipamento será utilizado no transporte da tripulação, transporte de rancho e pequenas cargas, na</t>
  </si>
  <si>
    <t>movimentação da linha de recalque flutuante e nas sondagens batimétricas. Sugerimos um equipamento com</t>
  </si>
  <si>
    <t>potência aproximada de 350 kW.</t>
  </si>
  <si>
    <t>Custo mensal estimado (Fonte: CIRIA)</t>
  </si>
  <si>
    <t>Custo mensal estimado total</t>
  </si>
  <si>
    <t>Embarcação de apoio</t>
  </si>
  <si>
    <t xml:space="preserve"> </t>
  </si>
  <si>
    <t>DESMOBILIZAÇÃO</t>
  </si>
  <si>
    <t>Preço do metro cúbico dragado "in situ"</t>
  </si>
  <si>
    <t>TOTAL GLOBAL</t>
  </si>
  <si>
    <t>BATELÃO DE CARGA AUTOPROPULSADO TIPO "SPLIT"</t>
  </si>
  <si>
    <t>Fonte: Tabela SINAPI - site da Caixa Econômica Federal</t>
  </si>
  <si>
    <t>CUSTO DE MÃO DE OBRA - DRAGA AT</t>
  </si>
  <si>
    <t>CÁLCULO DO CICLO DE DRAGAGEM E DA PRODUÇÃO MENSAL ESTIMADA (IN SITU) - DRAGA AT</t>
  </si>
  <si>
    <t xml:space="preserve"> CÁLCULO DO CUSTO ESTIMADO OPERACIONAL MENSAL - DRAGA AT</t>
  </si>
  <si>
    <t>CÁLCULO DO CONSUMO E DO CUSTO MENSAL DE COMBUSTÍVEL  -  DRAGA AT</t>
  </si>
  <si>
    <t>CÁLCULO DO CONSUMO E DO CUSTO MENSAL DE COMBUSTÍVEL - DRAGA AT</t>
  </si>
  <si>
    <t>NOTA TÉCNICA</t>
  </si>
  <si>
    <t>Batelão de carga autopropulsado com descarga pela cisterna</t>
  </si>
  <si>
    <t>Tipo "Split"</t>
  </si>
  <si>
    <t xml:space="preserve">Preço do batelão </t>
  </si>
  <si>
    <t xml:space="preserve">Velocidade média de transporte </t>
  </si>
  <si>
    <t>Distância média de transporte até a área de descarte do material dragado</t>
  </si>
  <si>
    <t xml:space="preserve">Preço médio do combustível   </t>
  </si>
  <si>
    <t>Potência em HP</t>
  </si>
  <si>
    <t xml:space="preserve">Segundo  ( R N Bray et al., 2005) assume-se um prêmio anual de 2,5% do valor do equipamento </t>
  </si>
  <si>
    <t>BATELÃO DE CARGA AUTOPROPULSADO</t>
  </si>
  <si>
    <t>POTÊNCIA TOTAL INSTALADA</t>
  </si>
  <si>
    <t>PREÇO MÉDIO DE UM BATELÃO NOVO   (FONTE:CIRIA)</t>
  </si>
  <si>
    <t>Velocidade média de delocamento (veloc. adequada para este equip.)</t>
  </si>
  <si>
    <t xml:space="preserve">BATELÃO DE CARGA AUTOPROPULSADO (TIPO SPLIT) </t>
  </si>
  <si>
    <t xml:space="preserve">CUSTO MENSAL ESTIMADO DA EMBARCAÇÃO DE APOIO   </t>
  </si>
  <si>
    <t>CUSTO DE MÃO DE OBRA  -  BATELÃO</t>
  </si>
  <si>
    <t>CÁLCULO DO CONSUMO E DO CUSTO MENSAL DE COMBUSTÍVEL  -  BATELÃO</t>
  </si>
  <si>
    <t xml:space="preserve"> CÁLCULO DO CUSTO ESTIMADO OPERACIONAL MENSAL  -  BATELÃO</t>
  </si>
  <si>
    <t>CUSTO ESTIMADO MENSAL DO CONJUNTO</t>
  </si>
  <si>
    <t>CÁLCULO DA PRODUÇÃO MENSAL ESTIMADA DO CONJUNTO</t>
  </si>
  <si>
    <t xml:space="preserve">Para calcularmos a produção mensal estimada devemos primeiro calcular o "ciclo" do Batelão de Carga, pois </t>
  </si>
  <si>
    <t>a capacidade de carga mensal do batelão é a que será efetivamente executada.</t>
  </si>
  <si>
    <t xml:space="preserve">Cálculo do ciclo do Batelão de Carga: </t>
  </si>
  <si>
    <t>Distância média de transporte</t>
  </si>
  <si>
    <t>Velocidade média de transporte</t>
  </si>
  <si>
    <t>nós</t>
  </si>
  <si>
    <t>Tempo de carregamento estimado</t>
  </si>
  <si>
    <t>Tempo de transporte (ida e volta)</t>
  </si>
  <si>
    <t>Ciclo de carregamento estimado</t>
  </si>
  <si>
    <t>Capacidade estimada de carga mensal do Batelão</t>
  </si>
  <si>
    <t>Tempo de manobras (descarga e atracação no costado do terminal)</t>
  </si>
  <si>
    <t>Assim sendo a produção mensal estimada seria de:</t>
  </si>
  <si>
    <t>Quantidade de Batelões utilizados</t>
  </si>
  <si>
    <t xml:space="preserve">Portanto o BDI utilizado será de: </t>
  </si>
  <si>
    <t>UTILIZAÇÃO DO BDI</t>
  </si>
  <si>
    <t>INPH, arquivo técnico</t>
  </si>
  <si>
    <t>Consideramos que o Batelão poderá trabalhar por 80% das horas mensais:</t>
  </si>
  <si>
    <t>O número de viagens estimadas será de:</t>
  </si>
  <si>
    <t>viagens</t>
  </si>
  <si>
    <t>Sua produção mensal estimada será de:</t>
  </si>
  <si>
    <t>DRAGAGEM</t>
  </si>
  <si>
    <t>CÁLCULO DO BDI</t>
  </si>
  <si>
    <t>De acordo com o proposto pela Nota Técnica elaborada pela SEP em 21/05/2014, através do INPH e da Secretaria de Infraestrutura Portuária - SIP, que aprova a metodologia de cálculo do Benefício de Despesas Indiretas e a aplicação de taxas referenciais para o Programa Nacional de Dragagem Portuária e Hidroviária II, de que trata Lei nº 12.815, de 5 de junho de 2013, o BDI será calculado pela aplicação da fórmula indicada no Acórdão 2.369/2011-TCU-Plenário, reproduzida abaixo. Os valores referenciais das taxas componentes do BDI correspondem às médias indicadas no Acórdão nº 2.622/2013 – TCU – Plenário para o setor de obras portuárias, marítimas e fluviais.</t>
  </si>
  <si>
    <t>Sendo, seus componentes e valores referenciais (Acórdão nº 2622/2013 – TCU – Plenário, Quadro 15):</t>
  </si>
  <si>
    <t>Taxa</t>
  </si>
  <si>
    <t>Descrição</t>
  </si>
  <si>
    <t>Valor</t>
  </si>
  <si>
    <t>TAC  =</t>
  </si>
  <si>
    <t>Taxa de rateio da Administração Central;</t>
  </si>
  <si>
    <t>TS =</t>
  </si>
  <si>
    <t>Taxa de Seguros;</t>
  </si>
  <si>
    <t>TR =</t>
  </si>
  <si>
    <t>Taxa de Riscos e Imprevistos;</t>
  </si>
  <si>
    <t>TG =</t>
  </si>
  <si>
    <t>Taxa de Garantias;</t>
  </si>
  <si>
    <t>TDF =</t>
  </si>
  <si>
    <t>Taxa de Despesas Financeiras;</t>
  </si>
  <si>
    <t>TL =</t>
  </si>
  <si>
    <t>Taxa de Lucro/Remuneração;</t>
  </si>
  <si>
    <t>ISS =</t>
  </si>
  <si>
    <t>Imposto Sobre Serviços de Qualquer Natureza;</t>
  </si>
  <si>
    <t>** indicado abaixo</t>
  </si>
  <si>
    <t>CPRB =</t>
  </si>
  <si>
    <t>Contribuição Previdenciária sobre a Renda Bruta;</t>
  </si>
  <si>
    <t>PIS =</t>
  </si>
  <si>
    <t>Programa de Integração Social; e</t>
  </si>
  <si>
    <t>COFINS =</t>
  </si>
  <si>
    <t>Contribuição Social para Financiamento da Seguridade Social.</t>
  </si>
  <si>
    <t>** Ainda segundo a Nota Técnica, para definição do percentual correspondente ao Imposto Sobre Serviços de Qualquer Natureza, o Acórdão nº 2.622/2013 – TCU – Plenário estabelece que deve ser considerado a alíquota correspondente à legislação municipal do local da obra. No caso da arrecadação por mais de um município, deve-se aplicar percentual ponderado, considerando-se:</t>
  </si>
  <si>
    <t xml:space="preserve">a)   </t>
  </si>
  <si>
    <t>Prioritariamente, a existência de acordo entre os municípios sobre a forma de arrecadação do tributo;</t>
  </si>
  <si>
    <t xml:space="preserve">b)   </t>
  </si>
  <si>
    <t>A divisão proporcional entre os municípios com base na fração volumétrica de dragagem existente no interior do limite territorial de cada município. No caso do canal externo, considerar-se-á os municípios localizados na foz do canal.</t>
  </si>
  <si>
    <t>ADOTADO</t>
  </si>
  <si>
    <t>DO VALOR DO COMBUSTÍVEL</t>
  </si>
  <si>
    <t>Percurso médio adotado</t>
  </si>
  <si>
    <t>(valor de referência calculado por estudo de mercado realizado por este Instituto)</t>
  </si>
  <si>
    <t>Percurso médio adotado (similar à draga autotransportadora - acima)</t>
  </si>
  <si>
    <t>Consideramos que o Batelão poderá transportar 85% de sua carga total:</t>
  </si>
  <si>
    <t>Ciclos de carga estimados</t>
  </si>
  <si>
    <t>para operações nestas condições.</t>
  </si>
  <si>
    <t>Cálculo da produção horária</t>
  </si>
  <si>
    <t>P = 60 x B x G x H x I / S</t>
  </si>
  <si>
    <t>onde:</t>
  </si>
  <si>
    <t>B = capacidade da caçamba em m³</t>
  </si>
  <si>
    <t>=</t>
  </si>
  <si>
    <t>S = tempo total do ciclo em minutos</t>
  </si>
  <si>
    <t>logo:</t>
  </si>
  <si>
    <t xml:space="preserve">P = </t>
  </si>
  <si>
    <t>Cálculo da produção mensal estimada</t>
  </si>
  <si>
    <t>P =</t>
  </si>
  <si>
    <t xml:space="preserve">Capacidade nominal da caçamba </t>
  </si>
  <si>
    <t>t</t>
  </si>
  <si>
    <t>Potência total instalada aproximada</t>
  </si>
  <si>
    <t>disponibilidade de acesso aos berços; paralisações para abastecimento; paralisações para recebimento de rancho; paralisações devido a manutenção corretiva; paralisações por tráfego de navios; paralisações para troca de tripulação; paralisações para avanço do equipamento; paralisações para efetuar batimetrias e imprevistos.</t>
  </si>
  <si>
    <t>Fica claro que quantificar temporalmente estas paralisações é impossível, portanto será considerado que a draga terá uma eficiência estimada em 50%</t>
  </si>
  <si>
    <t>DRAGA CLAM-SHELL</t>
  </si>
  <si>
    <t>G = fator de carga</t>
  </si>
  <si>
    <t>H = fator de conversão</t>
  </si>
  <si>
    <t>I = fator de eficiência</t>
  </si>
  <si>
    <t>PREÇO GLOBAL</t>
  </si>
  <si>
    <t>SUB-TOTAL 2</t>
  </si>
  <si>
    <t>Segundo  ( R N Bray et al., 2005) para dragas do tipo Clam-Shell o prazo utilizado para efeito de</t>
  </si>
  <si>
    <t>depreciação é de 20 anos</t>
  </si>
  <si>
    <t>Uma retroescavadeira clam-shell operando sob condições de mar executa seu ciclo de carga em um período de tempo muito maior que uma retroescavadeira operando em terra firme, pois o posicionamento de sua caçamba no solo marinho é muito mais complexo do que em terra. A profundidade de dragagem a ser alcançada também influencia no tempo de contato com o solo a ser removido. Pelo exposto o INPH adota o quantitativo de</t>
  </si>
  <si>
    <t>depreciação é de 25 anos</t>
  </si>
  <si>
    <t>Hopper volume</t>
  </si>
  <si>
    <r>
      <t>Displacement at dredging mark</t>
    </r>
    <r>
      <rPr>
        <vertAlign val="superscript"/>
        <sz val="11"/>
        <color indexed="8"/>
        <rFont val="Arial"/>
        <family val="2"/>
      </rPr>
      <t>b</t>
    </r>
  </si>
  <si>
    <t>Lightweight</t>
  </si>
  <si>
    <t>Power dredge pumps during suction</t>
  </si>
  <si>
    <t>Power jet pumps on draghead</t>
  </si>
  <si>
    <t>Free sailing propulsion power</t>
  </si>
  <si>
    <t>Value</t>
  </si>
  <si>
    <t>Costs per week</t>
  </si>
  <si>
    <t>M+R/ week</t>
  </si>
  <si>
    <t>(W)</t>
  </si>
  <si>
    <r>
      <t>(P</t>
    </r>
    <r>
      <rPr>
        <vertAlign val="subscript"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  <r>
      <rPr>
        <vertAlign val="superscript"/>
        <sz val="11"/>
        <color indexed="8"/>
        <rFont val="Arial"/>
        <family val="2"/>
      </rPr>
      <t>b</t>
    </r>
  </si>
  <si>
    <r>
      <t>(J</t>
    </r>
    <r>
      <rPr>
        <vertAlign val="subscript"/>
        <sz val="11"/>
        <color indexed="8"/>
        <rFont val="Arial"/>
        <family val="2"/>
      </rPr>
      <t>t</t>
    </r>
    <r>
      <rPr>
        <sz val="11"/>
        <color indexed="8"/>
        <rFont val="Arial"/>
        <family val="2"/>
      </rPr>
      <t>)</t>
    </r>
  </si>
  <si>
    <t>(S)</t>
  </si>
  <si>
    <r>
      <t>(V)</t>
    </r>
    <r>
      <rPr>
        <vertAlign val="superscript"/>
        <sz val="11"/>
        <color indexed="8"/>
        <rFont val="Arial"/>
        <family val="2"/>
      </rPr>
      <t>d</t>
    </r>
  </si>
  <si>
    <t>D+i</t>
  </si>
  <si>
    <t>M+R</t>
  </si>
  <si>
    <t>cu.m</t>
  </si>
  <si>
    <t>€</t>
  </si>
  <si>
    <t>% of V</t>
  </si>
  <si>
    <t>para efeito de depreciação é de 30 anos</t>
  </si>
  <si>
    <t>TOTAL</t>
  </si>
  <si>
    <t>Índice atualização Ciria</t>
  </si>
  <si>
    <t>Euro</t>
  </si>
  <si>
    <t>Salário Mínimo</t>
  </si>
  <si>
    <t>B</t>
  </si>
  <si>
    <t>Venda</t>
  </si>
  <si>
    <t>Compra</t>
  </si>
  <si>
    <r>
      <t>Paridade</t>
    </r>
    <r>
      <rPr>
        <b/>
        <vertAlign val="superscript"/>
        <sz val="8"/>
        <color indexed="8"/>
        <rFont val="Verdana"/>
        <family val="2"/>
      </rPr>
      <t>2/</t>
    </r>
  </si>
  <si>
    <r>
      <t>Taxa</t>
    </r>
    <r>
      <rPr>
        <b/>
        <vertAlign val="superscript"/>
        <sz val="8"/>
        <color indexed="8"/>
        <rFont val="Verdana"/>
        <family val="2"/>
      </rPr>
      <t>1/</t>
    </r>
  </si>
  <si>
    <t>Tipo</t>
  </si>
  <si>
    <t>Data</t>
  </si>
  <si>
    <t>A</t>
  </si>
  <si>
    <r>
      <t>Cotações em Real</t>
    </r>
    <r>
      <rPr>
        <b/>
        <vertAlign val="superscript"/>
        <sz val="8"/>
        <color indexed="8"/>
        <rFont val="Verdana"/>
        <family val="2"/>
      </rPr>
      <t>1/</t>
    </r>
  </si>
  <si>
    <t>Dólar</t>
  </si>
  <si>
    <t>Porto de Rio Grande - RS</t>
  </si>
  <si>
    <t>Áreas</t>
  </si>
  <si>
    <t>Talude</t>
  </si>
  <si>
    <t>Volume Total (m³)</t>
  </si>
  <si>
    <t>Canal Externo</t>
  </si>
  <si>
    <t>1:5</t>
  </si>
  <si>
    <t>Canal Interno</t>
  </si>
  <si>
    <t>Canal Porto Novo</t>
  </si>
  <si>
    <t>Berços Porto Novo</t>
  </si>
  <si>
    <t>(CIRIA)* - A guide to cost standards for dredging equipment - R N Bray</t>
  </si>
  <si>
    <t>Cota
(m - DHN)</t>
  </si>
  <si>
    <t>DMT
(MN)</t>
  </si>
  <si>
    <t>Volume
Projeto (m³)</t>
  </si>
  <si>
    <t>Tol.
(m)</t>
  </si>
  <si>
    <t>Volume
Tol. (m³)</t>
  </si>
  <si>
    <t>Para esse caso, o valor do ISS para o Município de Roi Grande - RS é</t>
  </si>
  <si>
    <t>Das horas disponíveis mensais para a operação de dragagem, com escavadeira hidráulica, devemos diminuir as horas de paralisação referentes aos eventos listados a seguir:</t>
  </si>
  <si>
    <t>m³/viag.</t>
  </si>
  <si>
    <r>
      <t xml:space="preserve">Para a execução desta CPU calcularemos o custo unitário considerando o arranjo </t>
    </r>
    <r>
      <rPr>
        <b/>
        <sz val="10"/>
        <rFont val="Arial"/>
        <family val="2"/>
      </rPr>
      <t>(Draga Backhoe + batelão de carga + embarcação de apoio (EA)).</t>
    </r>
  </si>
  <si>
    <t>Backhoe</t>
  </si>
  <si>
    <t>Draga Tipo Escavadeira hidráulica - Backhoe</t>
  </si>
  <si>
    <t>DRAGA Backhoe</t>
  </si>
  <si>
    <t>Draga Backhoe</t>
  </si>
  <si>
    <t>Para a execução desta CPU, observando-se as profundidades existentes, o tipo de material a ser dragado e a condição de manobrabilidade, sugerimos a utilização dos seguintes equipamentos de dragagem:</t>
  </si>
  <si>
    <t>DRAGA BACKHOE</t>
  </si>
  <si>
    <t>A Draga Backhoe + Batelão de Carga executará seus serviços na área Berços Porto Novo.</t>
  </si>
  <si>
    <t>READEQUAÇÃO DA GEOMETRIA DO CANAL DE ACESSO AO COMPLEXO PORTUÁRIO DE RIO GRANDE</t>
  </si>
  <si>
    <r>
      <t>Pela Tabela 9.1 ( R N Bray</t>
    </r>
    <r>
      <rPr>
        <i/>
        <sz val="10"/>
        <color indexed="8"/>
        <rFont val="Arial"/>
        <family val="2"/>
      </rPr>
      <t xml:space="preserve"> et al.</t>
    </r>
    <r>
      <rPr>
        <sz val="10"/>
        <color indexed="8"/>
        <rFont val="Arial"/>
        <family val="2"/>
      </rPr>
      <t xml:space="preserve">, 2005) , considerando o material a ser dragado, encontramos um fator de </t>
    </r>
  </si>
  <si>
    <r>
      <t xml:space="preserve">PREÇO MÉDIO DE UMA DRAGA NOVA  </t>
    </r>
    <r>
      <rPr>
        <b/>
        <sz val="10"/>
        <color indexed="8"/>
        <rFont val="Arial"/>
        <family val="2"/>
      </rPr>
      <t xml:space="preserve"> (FONTE:CIRIA)</t>
    </r>
  </si>
  <si>
    <r>
      <t>PREÇO DE CUSTO DO METRO CÚBICO DRAGADO (</t>
    </r>
    <r>
      <rPr>
        <i/>
        <sz val="10"/>
        <color indexed="8"/>
        <rFont val="Arial"/>
        <family val="2"/>
      </rPr>
      <t>IN SITU</t>
    </r>
    <r>
      <rPr>
        <sz val="10"/>
        <color indexed="8"/>
        <rFont val="Arial"/>
        <family val="2"/>
      </rPr>
      <t>)</t>
    </r>
  </si>
  <si>
    <r>
      <t xml:space="preserve">Através do site:  </t>
    </r>
    <r>
      <rPr>
        <sz val="10"/>
        <color indexed="56"/>
        <rFont val="Arial"/>
        <family val="2"/>
      </rPr>
      <t xml:space="preserve"> www.dnit.gov.br/servicos/sicro</t>
    </r>
    <r>
      <rPr>
        <sz val="10"/>
        <color indexed="8"/>
        <rFont val="Arial"/>
        <family val="2"/>
      </rPr>
      <t xml:space="preserve">, acessamos a seguinte fórmula: </t>
    </r>
  </si>
  <si>
    <r>
      <rPr>
        <b/>
        <sz val="10"/>
        <color indexed="8"/>
        <rFont val="Arial"/>
        <family val="2"/>
      </rPr>
      <t>*</t>
    </r>
    <r>
      <rPr>
        <sz val="10"/>
        <color indexed="8"/>
        <rFont val="Arial"/>
        <family val="2"/>
      </rPr>
      <t xml:space="preserve"> somada à TS, acima</t>
    </r>
  </si>
  <si>
    <t>Nestas áreas a Draga Backhoe executará seus serviços de dragagem acoplada a um batelão de carga auto propulsado (tipo split), onde lancara o material escavado para posterior descarte na área de disposição autorizada.</t>
  </si>
  <si>
    <t>A indicação do(s) equipamento(s) de dragagem visa ao nosso julgamento, proporcionar a melhor execução da obra, com prazos e preços condizentes a serviços deste porte. Todavia entendemos, que outros “arranjos técnicos” poderão ser apresentados desde que, comprovados tecnicamente, não excedam os prazos e preços resultantes desta CPU.</t>
  </si>
  <si>
    <t>CUSTO DE MOBILIZAÇÃO E DESMOBILIZAÇÃO - DRAGA BACKHOE</t>
  </si>
  <si>
    <t>CÁLCULO DA PRODUÇÃO MENSAL ESTIMADA - DRAGA BACKHOE</t>
  </si>
  <si>
    <t xml:space="preserve">Nesta CPU, para as horas de operação mensal estimadas, será adotado o valor de </t>
  </si>
  <si>
    <t xml:space="preserve"> CÁLCULO DO CUSTO ESTIMADO OPERACIONAL MENSAL - DRAGA BACKHOE</t>
  </si>
  <si>
    <t>CÁLCULO DO CONSUMO E DO CUSTO MENSAL DE COMBUSTÍVEL - DRAGA BACKHOE</t>
  </si>
  <si>
    <t>CUSTO DE MÃO DE OBRA - DRAGA BACKHOE</t>
  </si>
  <si>
    <t>DRAGA BACKHOE  (Draga + Batelão de Carga + EA)</t>
  </si>
  <si>
    <t>DRAGA BACKHOE (Draga + Batelão de Carga + EA)</t>
  </si>
  <si>
    <t xml:space="preserve">  (Draga + Batelão de Carga + Emb. Apoio)</t>
  </si>
  <si>
    <t>MGO + IMPOSTOS</t>
  </si>
  <si>
    <t>DENSIDADE (em t/l)</t>
  </si>
  <si>
    <t>ton MGO RIO GRANDE</t>
  </si>
  <si>
    <t>Segundo  ( R N Bray et al., 2005) para dragas autotransportadoras de médio a grande porte o prazo utilizado</t>
  </si>
  <si>
    <r>
      <t xml:space="preserve">Segundo  ( R N Bray et al., 2005) para </t>
    </r>
    <r>
      <rPr>
        <sz val="10"/>
        <color indexed="8"/>
        <rFont val="Arial"/>
        <family val="2"/>
      </rPr>
      <t>batelões autopropelidos o prazo utilizado para efeito de</t>
    </r>
  </si>
  <si>
    <t>SUB-TOTAL 1</t>
  </si>
  <si>
    <t>TOTAL INICIAL</t>
  </si>
  <si>
    <t/>
  </si>
  <si>
    <t>Trata-se de Composição de Preços Unitários - CPU referente aos serviços de dragagem constantes no Anteprojeto de Dragagem de Manutenção e Readequação da Geometria do Canal de Acesso ao Complexo Portuário de Rio Grande - RS, Relatório INPH nº 016/2014</t>
  </si>
  <si>
    <t>PORTO DO RIO GRANDE - RS</t>
  </si>
  <si>
    <t>Combustível RS (R$ / litro)</t>
  </si>
  <si>
    <t>Velocidade méd.de transporte</t>
  </si>
  <si>
    <t>Encargos Sociais (SINAPI) RS</t>
  </si>
  <si>
    <t>ISS  RS</t>
  </si>
  <si>
    <t>Preço do Combustível - RS</t>
  </si>
  <si>
    <t>MOBILIZAÇÃO E DESMOBILIZAÇÃO REFERENTES AO PORTO DE RIO GRANDE</t>
  </si>
  <si>
    <t>Os Custos de Mobilização e desmobilização serão calculados considerando uma fração do custo mensal de cada equipamento em relação ao Porto referente à essa movimentação. O custo será proporcional ao tempo necessário para o deslocamento e efetivo início das atividades de dragagem, conforme mostrado abaixo.</t>
  </si>
  <si>
    <t>SUB-TOTAL 4</t>
  </si>
  <si>
    <t>MOBILIZAÇÃO INICIAL PARA RIO GRANDE - DRAGA BACKHOE</t>
  </si>
  <si>
    <t>MOBILIZAÇÃO INICIAL PARA RIO GRANDE - BATELÃO DE CARGA 400 m³ - (2X)</t>
  </si>
  <si>
    <t>DESMOBILIZAÇÃO DE RIO GRANDE - DRAGA BACKHOE</t>
  </si>
  <si>
    <t>DESMOBILIZAÇÃO DE RIO GRANDE - BATELÃO DE CARGA 400 m³ - (2X)</t>
  </si>
  <si>
    <t>TOTAL MOB/DESMOB</t>
  </si>
  <si>
    <t>MOBILIZAÇÃO E DESMOBILIZAÇÃO</t>
  </si>
  <si>
    <t>Será adotado como remuneração da MOB/DESMOB  da Draga Backhoe e do Batelão de Carga um percentual do seu custo estimado mensal. Por ser um equipamento facilmente encontrado, será adotado um percurso médio referente a um equipamento que já encontra-se na região do projeto, estipulado 200 MN.</t>
  </si>
  <si>
    <t>PRODUÇÃO MENSAL EFETIVA ESTIMADA (IN SITU)</t>
  </si>
  <si>
    <r>
      <t>1/</t>
    </r>
    <r>
      <rPr>
        <sz val="7.5"/>
        <color indexed="8"/>
        <rFont val="Verdana"/>
        <family val="2"/>
      </rPr>
      <t> - Moeda contra Real</t>
    </r>
  </si>
  <si>
    <t>Pela capacidade produtiva da Draga Backhoe concluímos que devemos alocar 02 (dois) Batelões de Carga</t>
  </si>
  <si>
    <t>Assoreamento estimado</t>
  </si>
  <si>
    <t xml:space="preserve">empolamento variando de 1,10 até 1,25. </t>
  </si>
  <si>
    <t>silte, argila, areia fina e média</t>
  </si>
  <si>
    <t>Portanto consideraremos como empolamento estimado o valor médio de 17,5%</t>
  </si>
  <si>
    <t>O ceficiente de enchimento na cisterna é a relação entre o volume total da cisterna e o volume de sedimentos dragados depositados no seu interior a cada ciclo de dragagem. Essa relação é função do tipo de material dragado, das características do equipamento de dragagem e do tempo de enchimento e "overflow" de cada ciclo de dragagem. Seu valor pode variar entre, cerca de 40%, para sedimentos muito finos e 85% para areia grossa (R N Bray et al., 2005).</t>
  </si>
  <si>
    <t>Devido a hetereogeneidade do material consideraremos o valor representativo de 75% para todo o trecho.</t>
  </si>
  <si>
    <t>ASSOREAMENTO PREVISTO</t>
  </si>
  <si>
    <t>Percentual equivalente ao custo mensal operacional para Mobilização</t>
  </si>
  <si>
    <t>Percentual equivalente ao custo mensal operacional para Desmobilização</t>
  </si>
  <si>
    <t>PREÇO GLOBAL REFERENTE AO PORTO DO RIO GRANDE - RS</t>
  </si>
  <si>
    <t>As áreas de operação de cada equipamento, bem como os volumes anuais estimados a serem dragados estão assim</t>
  </si>
  <si>
    <t>A Draga Autotransportadora de 11.000 m³ executará seus serviços na áreas Canal Externo, Canal Interno, Canal Interno - Bacia 1, Canal Porto Novo e Canal São José do Norte.</t>
  </si>
  <si>
    <t>DRAGA AUTOTRANSPORTADORA 11.000 m³</t>
  </si>
  <si>
    <t>Draga Autotransportadora 11.000 m³  -  Prazo</t>
  </si>
  <si>
    <t>sugerimos a mobilização de duas dragas AT 11.000 m³.</t>
  </si>
  <si>
    <t>(2X)</t>
  </si>
  <si>
    <t>Prazo Total da Obra (dias)</t>
  </si>
  <si>
    <t>Volume anual de Assoream. definido por modelagem</t>
  </si>
  <si>
    <t>Vol. de assoream. anual - 100% - por trecho (m³)</t>
  </si>
  <si>
    <t>Volume de Assoream. Diário do Trecho (m³)</t>
  </si>
  <si>
    <t>Núm de Equipam. (un.)</t>
  </si>
  <si>
    <t>Vol. de Assoream. Total / Equip. (m³)</t>
  </si>
  <si>
    <t>Volume Total de Assoream. Computado por Trecho (m³)</t>
  </si>
  <si>
    <t>Volume Total de Assoream. na Obra por modelagem (9,2/12) (m³)</t>
  </si>
  <si>
    <t>VOLUME ANUAL A SER DRAGADO</t>
  </si>
  <si>
    <t>Prazo Draga 11.000 (2 equipamentos)</t>
  </si>
  <si>
    <t>Prazo Draga1.800 (1 equipamento)</t>
  </si>
  <si>
    <t>NÚMERO DE EQUIPAMENTOS ALOCADOS</t>
  </si>
  <si>
    <t>MOBILIZAÇÃO PARA RIO GRANDE     (x 2 equipamentos)</t>
  </si>
  <si>
    <t>DESMOBILIZAÇÃO DE RIO GRANDE     (x 2 equipamentos)</t>
  </si>
  <si>
    <t>Batelão de carga (2 unidades)</t>
  </si>
  <si>
    <t>Canal Interno e Bacia</t>
  </si>
  <si>
    <t>Canal Interno e Bacia de Manobra</t>
  </si>
  <si>
    <t>CÁLCULO ITERATIVO</t>
  </si>
  <si>
    <t>VERIFICAÇÃO</t>
  </si>
  <si>
    <t>Dias de produção / Equip. - Inicial</t>
  </si>
  <si>
    <t>Dias de prod./Equip. - Durante Inicial</t>
  </si>
  <si>
    <t>Dias de produção / Equip. - Final</t>
  </si>
  <si>
    <t>Dias de produção / Equip. - TOTAL</t>
  </si>
  <si>
    <t>Volume de Assoreamento Dragagem Inicial</t>
  </si>
  <si>
    <t>Volume de Assoreamento Restante da Obra</t>
  </si>
  <si>
    <t>Dias de produção / Equip. TOTAL</t>
  </si>
  <si>
    <t>Dias de Assoreamento Restante da Obra</t>
  </si>
  <si>
    <t>DRAGAGEM DO PORTO DE PARANAGUÁ - PR</t>
  </si>
  <si>
    <t>CRONOGRAMA FÍSICO        Base: Outubro / 2014</t>
  </si>
  <si>
    <t>ITENS</t>
  </si>
  <si>
    <t xml:space="preserve">DISCRIMINAÇÃO </t>
  </si>
  <si>
    <t>UNID.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</si>
  <si>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</si>
  <si>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</si>
  <si>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</si>
  <si>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</si>
  <si>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</si>
  <si>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</si>
  <si>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</si>
  <si>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</si>
  <si>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</si>
  <si>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</si>
  <si>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</si>
  <si>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</si>
  <si>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1.1</t>
  </si>
  <si>
    <t>1.2</t>
  </si>
  <si>
    <t>1.3</t>
  </si>
  <si>
    <t>DRAGA SR 20"+ 1 Batelão</t>
  </si>
  <si>
    <t>2.1</t>
  </si>
  <si>
    <t>2.2</t>
  </si>
  <si>
    <t>2.3</t>
  </si>
  <si>
    <t>3.1</t>
  </si>
  <si>
    <t>3.2</t>
  </si>
  <si>
    <t>3.3</t>
  </si>
  <si>
    <t>ESFORÇO FÍSICO FINANCEIRO</t>
  </si>
  <si>
    <t>4.1</t>
  </si>
  <si>
    <t>MENSAL</t>
  </si>
  <si>
    <t>4.2</t>
  </si>
  <si>
    <t>ACUMULADOS</t>
  </si>
  <si>
    <t>Volume in situ</t>
  </si>
  <si>
    <t>dias / m³</t>
  </si>
  <si>
    <t>Volume de Assoreamento</t>
  </si>
  <si>
    <r>
      <t>dias / m</t>
    </r>
    <r>
      <rPr>
        <sz val="11"/>
        <rFont val="Arial Narrow"/>
        <family val="2"/>
      </rPr>
      <t>³</t>
    </r>
  </si>
  <si>
    <t>PREÇO DE CUSTO UNITÁRIO E PREÇO DE CUSTO TOTAL</t>
  </si>
  <si>
    <r>
      <t>PREÇO DO METRO CÚBICO DRAGADO (</t>
    </r>
    <r>
      <rPr>
        <i/>
        <sz val="10"/>
        <color indexed="8"/>
        <rFont val="Arial"/>
        <family val="2"/>
      </rPr>
      <t>IN SITU</t>
    </r>
    <r>
      <rPr>
        <sz val="10"/>
        <color indexed="8"/>
        <rFont val="Arial"/>
        <family val="2"/>
      </rPr>
      <t>)</t>
    </r>
  </si>
  <si>
    <r>
      <t>VOLUME INICIAL (</t>
    </r>
    <r>
      <rPr>
        <i/>
        <sz val="10"/>
        <color indexed="8"/>
        <rFont val="Arial"/>
        <family val="2"/>
      </rPr>
      <t>IN SITU</t>
    </r>
    <r>
      <rPr>
        <sz val="10"/>
        <color indexed="8"/>
        <rFont val="Arial"/>
        <family val="2"/>
      </rPr>
      <t>) A SER DRAGADO</t>
    </r>
  </si>
  <si>
    <t>un.</t>
  </si>
  <si>
    <r>
      <t xml:space="preserve">PRAZO PRELIMINAR DE DRAGAGEM INICIAL (VOLUME </t>
    </r>
    <r>
      <rPr>
        <i/>
        <sz val="10"/>
        <color indexed="8"/>
        <rFont val="Arial"/>
        <family val="2"/>
      </rPr>
      <t>IN SITU</t>
    </r>
    <r>
      <rPr>
        <sz val="10"/>
        <color indexed="8"/>
        <rFont val="Arial"/>
        <family val="2"/>
      </rPr>
      <t>)</t>
    </r>
  </si>
  <si>
    <t>VOLUME DE ASSOREAMENTO ESTIMADO DURANTE DRAGAGEM INICIAL</t>
  </si>
  <si>
    <t>PRAZO PARA DRAGAGEM DO ASSOREAMENTO ESTIMADO INICIAL</t>
  </si>
  <si>
    <t>VOLUME DE ASSOREAMENTO ESTIMADO DURANTE O RESTANTE DA OBRA</t>
  </si>
  <si>
    <t>PRAZO DE EXECUÇÃO DA DRAGAGEM DO ASSOREAMENTO FINAL</t>
  </si>
  <si>
    <t>VOLUME DE ASSOREAMENTO TOTAL</t>
  </si>
  <si>
    <t>PRAZO TOTAL DO TRECHO</t>
  </si>
  <si>
    <t>PREÇO DOS SERVIÇOS DE DRAGAGEM</t>
  </si>
  <si>
    <r>
      <t>Volume inicial (</t>
    </r>
    <r>
      <rPr>
        <i/>
        <sz val="10"/>
        <color indexed="8"/>
        <rFont val="Arial"/>
        <family val="2"/>
      </rPr>
      <t>in situ</t>
    </r>
    <r>
      <rPr>
        <sz val="10"/>
        <color indexed="8"/>
        <rFont val="Arial"/>
        <family val="2"/>
      </rPr>
      <t>) a ser dragado</t>
    </r>
  </si>
  <si>
    <t>Volume de assoreamento previsto</t>
  </si>
  <si>
    <t>Preço total da dragagem inicial</t>
  </si>
  <si>
    <t>Preço total da dragagem do assoreamento estimado</t>
  </si>
  <si>
    <t>Preço TOTAL</t>
  </si>
  <si>
    <r>
      <t xml:space="preserve">DRAGAGEM INICIAL - VOLUME </t>
    </r>
    <r>
      <rPr>
        <b/>
        <i/>
        <sz val="10"/>
        <color indexed="9"/>
        <rFont val="Arial"/>
        <family val="2"/>
      </rPr>
      <t>IN SITU</t>
    </r>
  </si>
  <si>
    <t>DRAGAGEM ASSOREAMENTO</t>
  </si>
  <si>
    <t>Para a realização da Dragagem no Porto de Rio Grande serão considerados os valores estimados de assoreamento no porto determinados pelo Anteprojeto de Dragagem de Manutenção e Readequação da Geometria do Canal de Acesso ao Complexo Portuário de Rio Grande - RS. Esses valores serão acrescentados aos volumes a ser dragados, de forma a contemplar todo o assoreamento durante todo o período da obra.</t>
  </si>
  <si>
    <t xml:space="preserve">O volume de assoreamento anual de cada trecho foi determinada por modelagem matemática desenvolvida por esse instituto. </t>
  </si>
  <si>
    <t>Os Volumes obtidos com base na batimetria realizada, em cada área está apresentado na tabela abaixo:</t>
  </si>
  <si>
    <t>distribuídos (Batimetria + assoreamento):</t>
  </si>
  <si>
    <t>As áreas de operação de cada equipamento, bem como os volumes totais estimados a serem dragados estão assim</t>
  </si>
  <si>
    <t xml:space="preserve">Para diminuirmos o prazo estimado total dos serviços de dragagem </t>
  </si>
</sst>
</file>

<file path=xl/styles.xml><?xml version="1.0" encoding="utf-8"?>
<styleSheet xmlns="http://schemas.openxmlformats.org/spreadsheetml/2006/main">
  <numFmts count="38">
    <numFmt numFmtId="8" formatCode="&quot;R$&quot;\ #,##0.00;[Red]\-&quot;R$&quot;\ #,##0.00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0.00000"/>
    <numFmt numFmtId="167" formatCode="&quot;R$&quot;\ #,##0.00"/>
    <numFmt numFmtId="168" formatCode="0.0"/>
    <numFmt numFmtId="169" formatCode="_-* #,##0.0000_-;\-* #,##0.0000_-;_-* &quot;-&quot;??_-;_-@_-"/>
    <numFmt numFmtId="170" formatCode="&quot;*  &quot;0.00%"/>
    <numFmt numFmtId="171" formatCode="General&quot; ANOS&quot;"/>
    <numFmt numFmtId="172" formatCode="General&quot; h/mês&quot;"/>
    <numFmt numFmtId="173" formatCode="General&quot; ciclos/h&quot;"/>
    <numFmt numFmtId="174" formatCode="General\ &quot;m³/h&quot;"/>
    <numFmt numFmtId="175" formatCode="General&quot;  h/mês   x&quot;"/>
    <numFmt numFmtId="176" formatCode="General\ &quot;m³  / &quot;"/>
    <numFmt numFmtId="177" formatCode="&quot;DRAGA AUTOTRANSPORTADORA &quot;#,##0&quot; m³&quot;"/>
    <numFmt numFmtId="178" formatCode="&quot;ÁREA - &quot;@"/>
    <numFmt numFmtId="179" formatCode="#,##0&quot; SM&quot;"/>
    <numFmt numFmtId="180" formatCode="&quot;CÁLCULO DO PREÇO DE CUSTO UNIT. E  TOTAL - DRAGA AT - ÁREA - &quot;@"/>
    <numFmt numFmtId="181" formatCode="&quot;Idem &quot;@"/>
    <numFmt numFmtId="182" formatCode="[$$-409]#,##0.00"/>
    <numFmt numFmtId="183" formatCode="#,##0&quot; dias&quot;"/>
    <numFmt numFmtId="184" formatCode="#,##0.00&quot; meses&quot;"/>
    <numFmt numFmtId="185" formatCode="&quot;CUSTO DE MOBILIZAÇÃO E DESMOBILIZAÇÃO  -  BATELÃO DE CARGA AUTOPROPULSADO &quot;#,##0&quot; m³&quot;"/>
    <numFmt numFmtId="186" formatCode="&quot;CÁLCULO DO PREÇO DE CUSTO UNIT. E  TOTAL - CONJUNTO DRAGA BACKHOE - ÁREA - &quot;@"/>
    <numFmt numFmtId="187" formatCode="#,##0.000"/>
    <numFmt numFmtId="188" formatCode="0.0%"/>
    <numFmt numFmtId="189" formatCode="&quot;CUSTO DE MOBILIZAÇÃO E DESMOBILIZAÇÃO -  DRAGA AT &quot;#,##0&quot; m³&quot;"/>
    <numFmt numFmtId="190" formatCode="&quot;para &quot;0.00&quot; meses,&quot;"/>
    <numFmt numFmtId="191" formatCode="#,##0.0"/>
    <numFmt numFmtId="192" formatCode="#,##0.00_ ;\-#,##0.00\ "/>
    <numFmt numFmtId="193" formatCode="&quot;Draga Autotransportadora &quot;#,##0&quot; m³&quot;"/>
    <numFmt numFmtId="194" formatCode="#,##0_ ;\-#,##0\ "/>
    <numFmt numFmtId="195" formatCode="#,##0.0_ ;\-#,##0.0\ "/>
    <numFmt numFmtId="196" formatCode="#,##0.00000000000"/>
    <numFmt numFmtId="197" formatCode="0.00000000000000"/>
    <numFmt numFmtId="198" formatCode="0.0000000000"/>
  </numFmts>
  <fonts count="5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vertAlign val="superscript"/>
      <sz val="8"/>
      <color indexed="8"/>
      <name val="Verdana"/>
      <family val="2"/>
    </font>
    <font>
      <sz val="12"/>
      <name val="Arial"/>
      <family val="2"/>
    </font>
    <font>
      <i/>
      <sz val="10"/>
      <color indexed="8"/>
      <name val="Arial"/>
      <family val="2"/>
    </font>
    <font>
      <sz val="10"/>
      <color indexed="56"/>
      <name val="Arial"/>
      <family val="2"/>
    </font>
    <font>
      <sz val="7.5"/>
      <color indexed="8"/>
      <name val="Verdana"/>
      <family val="2"/>
    </font>
    <font>
      <b/>
      <i/>
      <sz val="10"/>
      <color indexed="9"/>
      <name val="Arial"/>
      <family val="2"/>
    </font>
    <font>
      <i/>
      <sz val="11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9" tint="-0.499984740745262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10"/>
      <color theme="3"/>
      <name val="Arial"/>
      <family val="2"/>
    </font>
    <font>
      <b/>
      <sz val="14"/>
      <color theme="3"/>
      <name val="Arial"/>
      <family val="2"/>
    </font>
    <font>
      <b/>
      <i/>
      <sz val="12"/>
      <color theme="3"/>
      <name val="Arial"/>
      <family val="2"/>
    </font>
    <font>
      <b/>
      <sz val="10"/>
      <color theme="4" tint="-0.499984740745262"/>
      <name val="Arial"/>
      <family val="2"/>
    </font>
    <font>
      <b/>
      <sz val="10"/>
      <color theme="0"/>
      <name val="Arial"/>
      <family val="2"/>
    </font>
    <font>
      <b/>
      <sz val="9"/>
      <color theme="3"/>
      <name val="Arial"/>
      <family val="2"/>
    </font>
    <font>
      <sz val="10"/>
      <name val="Calibri"/>
      <family val="2"/>
      <scheme val="minor"/>
    </font>
    <font>
      <b/>
      <sz val="6"/>
      <color theme="3"/>
      <name val="Arial"/>
      <family val="2"/>
    </font>
    <font>
      <sz val="6"/>
      <color theme="1"/>
      <name val="Arial"/>
      <family val="2"/>
    </font>
    <font>
      <sz val="10"/>
      <color theme="3"/>
      <name val="Arial"/>
      <family val="2"/>
    </font>
    <font>
      <i/>
      <sz val="10"/>
      <color theme="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8"/>
      <color rgb="FF000000"/>
      <name val="Verdana"/>
      <family val="2"/>
    </font>
    <font>
      <sz val="10"/>
      <color theme="1"/>
      <name val="Calibri"/>
      <family val="2"/>
      <scheme val="minor"/>
    </font>
    <font>
      <i/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8"/>
      <color rgb="FF000000"/>
      <name val="Verdana"/>
      <family val="2"/>
    </font>
    <font>
      <i/>
      <sz val="11"/>
      <color theme="1"/>
      <name val="Arial Narrow"/>
      <family val="2"/>
    </font>
    <font>
      <b/>
      <i/>
      <sz val="11"/>
      <color theme="0"/>
      <name val="Arial Narrow"/>
      <family val="2"/>
    </font>
    <font>
      <i/>
      <sz val="10"/>
      <color theme="1"/>
      <name val="Arial Narrow"/>
      <family val="2"/>
    </font>
    <font>
      <b/>
      <sz val="12"/>
      <color theme="0"/>
      <name val="Arial"/>
      <family val="2"/>
    </font>
    <font>
      <b/>
      <sz val="10"/>
      <color rgb="FFFFFF00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vertAlign val="superscript"/>
      <sz val="7.5"/>
      <color rgb="FF000000"/>
      <name val="Verdana"/>
      <family val="2"/>
    </font>
    <font>
      <b/>
      <sz val="11"/>
      <color theme="0"/>
      <name val="Arial"/>
      <family val="2"/>
    </font>
    <font>
      <i/>
      <sz val="11"/>
      <color theme="0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F8EF"/>
        <bgColor indexed="64"/>
      </patternFill>
    </fill>
    <fill>
      <patternFill patternType="solid">
        <fgColor rgb="FFF5ECD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9C18A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/>
      <top style="double">
        <color theme="1"/>
      </top>
      <bottom style="medium">
        <color indexed="64"/>
      </bottom>
      <diagonal/>
    </border>
    <border>
      <left/>
      <right/>
      <top style="double">
        <color theme="1"/>
      </top>
      <bottom style="medium">
        <color indexed="64"/>
      </bottom>
      <diagonal/>
    </border>
    <border>
      <left/>
      <right style="thin">
        <color indexed="64"/>
      </right>
      <top style="double">
        <color theme="1"/>
      </top>
      <bottom style="medium">
        <color indexed="64"/>
      </bottom>
      <diagonal/>
    </border>
    <border>
      <left/>
      <right/>
      <top style="double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thin">
        <color indexed="64"/>
      </right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rgb="FFB2B2B2"/>
      </bottom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 style="thin">
        <color indexed="64"/>
      </right>
      <top/>
      <bottom style="thin">
        <color rgb="FFB2B2B2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rgb="FFB2B2B2"/>
      </bottom>
      <diagonal/>
    </border>
    <border>
      <left/>
      <right/>
      <top style="thin">
        <color theme="0" tint="-0.34998626667073579"/>
      </top>
      <bottom style="thin">
        <color rgb="FFB2B2B2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rgb="FFB2B2B2"/>
      </bottom>
      <diagonal/>
    </border>
    <border>
      <left style="thin">
        <color indexed="64"/>
      </left>
      <right style="medium">
        <color theme="7" tint="-0.24994659260841701"/>
      </right>
      <top style="thin">
        <color theme="0" tint="-0.34998626667073579"/>
      </top>
      <bottom style="thin">
        <color rgb="FFB2B2B2"/>
      </bottom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theme="7" tint="-0.24994659260841701"/>
      </right>
      <top/>
      <bottom style="thin">
        <color rgb="FFB2B2B2"/>
      </bottom>
      <diagonal/>
    </border>
    <border>
      <left/>
      <right style="medium">
        <color theme="7" tint="-0.24994659260841701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/>
      <right style="thick">
        <color theme="7" tint="-0.24994659260841701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rgb="FFB2B2B2"/>
      </top>
      <bottom/>
      <diagonal/>
    </border>
    <border>
      <left/>
      <right style="thin">
        <color indexed="64"/>
      </right>
      <top style="thin">
        <color rgb="FFB2B2B2"/>
      </top>
      <bottom/>
      <diagonal/>
    </border>
    <border>
      <left style="thin">
        <color indexed="64"/>
      </left>
      <right/>
      <top/>
      <bottom style="thin">
        <color rgb="FFB2B2B2"/>
      </bottom>
      <diagonal/>
    </border>
  </borders>
  <cellStyleXfs count="3">
    <xf numFmtId="0" fontId="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94">
    <xf numFmtId="0" fontId="0" fillId="0" borderId="0" xfId="0"/>
    <xf numFmtId="0" fontId="22" fillId="0" borderId="0" xfId="0" applyFont="1"/>
    <xf numFmtId="0" fontId="22" fillId="0" borderId="1" xfId="0" applyFont="1" applyBorder="1"/>
    <xf numFmtId="0" fontId="22" fillId="0" borderId="0" xfId="0" applyFont="1" applyBorder="1"/>
    <xf numFmtId="0" fontId="23" fillId="0" borderId="1" xfId="0" applyFont="1" applyBorder="1"/>
    <xf numFmtId="0" fontId="23" fillId="0" borderId="0" xfId="0" applyFont="1" applyBorder="1"/>
    <xf numFmtId="0" fontId="23" fillId="0" borderId="2" xfId="0" applyFont="1" applyBorder="1" applyAlignment="1">
      <alignment horizontal="center"/>
    </xf>
    <xf numFmtId="0" fontId="24" fillId="0" borderId="0" xfId="0" applyFont="1" applyBorder="1"/>
    <xf numFmtId="0" fontId="22" fillId="0" borderId="3" xfId="0" applyFont="1" applyBorder="1"/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/>
    <xf numFmtId="164" fontId="23" fillId="0" borderId="4" xfId="0" applyNumberFormat="1" applyFont="1" applyBorder="1"/>
    <xf numFmtId="164" fontId="2" fillId="0" borderId="4" xfId="0" applyNumberFormat="1" applyFont="1" applyBorder="1"/>
    <xf numFmtId="1" fontId="2" fillId="0" borderId="4" xfId="0" applyNumberFormat="1" applyFont="1" applyBorder="1"/>
    <xf numFmtId="164" fontId="2" fillId="0" borderId="4" xfId="2" applyNumberFormat="1" applyFont="1" applyBorder="1"/>
    <xf numFmtId="0" fontId="22" fillId="0" borderId="7" xfId="0" applyFont="1" applyBorder="1" applyAlignment="1">
      <alignment horizontal="center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3" fillId="0" borderId="0" xfId="0" applyFont="1"/>
    <xf numFmtId="0" fontId="26" fillId="0" borderId="0" xfId="0" applyFont="1" applyAlignment="1">
      <alignment horizontal="center"/>
    </xf>
    <xf numFmtId="0" fontId="26" fillId="0" borderId="0" xfId="0" applyFont="1"/>
    <xf numFmtId="0" fontId="22" fillId="0" borderId="8" xfId="0" applyFont="1" applyBorder="1"/>
    <xf numFmtId="0" fontId="22" fillId="0" borderId="2" xfId="0" applyFont="1" applyBorder="1"/>
    <xf numFmtId="0" fontId="22" fillId="0" borderId="9" xfId="0" applyFont="1" applyBorder="1"/>
    <xf numFmtId="0" fontId="22" fillId="0" borderId="10" xfId="0" applyFont="1" applyBorder="1"/>
    <xf numFmtId="0" fontId="22" fillId="0" borderId="11" xfId="0" applyFont="1" applyBorder="1"/>
    <xf numFmtId="8" fontId="23" fillId="0" borderId="12" xfId="0" applyNumberFormat="1" applyFont="1" applyBorder="1"/>
    <xf numFmtId="0" fontId="22" fillId="0" borderId="12" xfId="0" applyFont="1" applyBorder="1"/>
    <xf numFmtId="0" fontId="22" fillId="0" borderId="13" xfId="0" applyFont="1" applyBorder="1" applyAlignment="1">
      <alignment horizontal="center"/>
    </xf>
    <xf numFmtId="43" fontId="23" fillId="0" borderId="5" xfId="0" applyNumberFormat="1" applyFont="1" applyBorder="1"/>
    <xf numFmtId="0" fontId="23" fillId="0" borderId="5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6" xfId="0" applyFont="1" applyBorder="1"/>
    <xf numFmtId="0" fontId="23" fillId="0" borderId="14" xfId="0" applyFont="1" applyBorder="1"/>
    <xf numFmtId="0" fontId="0" fillId="0" borderId="2" xfId="0" applyBorder="1" applyAlignment="1">
      <alignment horizontal="center"/>
    </xf>
    <xf numFmtId="164" fontId="23" fillId="0" borderId="7" xfId="0" applyNumberFormat="1" applyFont="1" applyBorder="1"/>
    <xf numFmtId="164" fontId="23" fillId="0" borderId="4" xfId="2" applyNumberFormat="1" applyFont="1" applyBorder="1"/>
    <xf numFmtId="164" fontId="27" fillId="0" borderId="4" xfId="0" applyNumberFormat="1" applyFont="1" applyBorder="1"/>
    <xf numFmtId="0" fontId="0" fillId="0" borderId="4" xfId="0" applyBorder="1" applyAlignment="1">
      <alignment horizontal="center"/>
    </xf>
    <xf numFmtId="0" fontId="0" fillId="0" borderId="0" xfId="0" applyBorder="1"/>
    <xf numFmtId="164" fontId="2" fillId="0" borderId="7" xfId="2" applyNumberFormat="1" applyFont="1" applyBorder="1"/>
    <xf numFmtId="0" fontId="23" fillId="0" borderId="4" xfId="0" applyFont="1" applyBorder="1"/>
    <xf numFmtId="43" fontId="23" fillId="0" borderId="4" xfId="0" applyNumberFormat="1" applyFont="1" applyBorder="1"/>
    <xf numFmtId="0" fontId="28" fillId="0" borderId="0" xfId="0" applyFont="1"/>
    <xf numFmtId="0" fontId="28" fillId="0" borderId="0" xfId="0" applyFont="1" applyAlignment="1">
      <alignment horizontal="center"/>
    </xf>
    <xf numFmtId="2" fontId="3" fillId="0" borderId="4" xfId="0" applyNumberFormat="1" applyFont="1" applyBorder="1"/>
    <xf numFmtId="0" fontId="23" fillId="0" borderId="0" xfId="0" applyFont="1" applyBorder="1" applyAlignment="1"/>
    <xf numFmtId="0" fontId="0" fillId="0" borderId="0" xfId="0" applyFill="1" applyBorder="1"/>
    <xf numFmtId="0" fontId="29" fillId="0" borderId="0" xfId="0" applyFont="1" applyFill="1" applyBorder="1" applyAlignment="1">
      <alignment horizontal="left"/>
    </xf>
    <xf numFmtId="0" fontId="30" fillId="0" borderId="0" xfId="0" applyFont="1" applyFill="1" applyBorder="1" applyAlignment="1"/>
    <xf numFmtId="0" fontId="31" fillId="0" borderId="0" xfId="0" applyFont="1" applyFill="1" applyBorder="1" applyAlignment="1"/>
    <xf numFmtId="0" fontId="29" fillId="0" borderId="0" xfId="0" applyFont="1" applyFill="1" applyBorder="1" applyAlignment="1"/>
    <xf numFmtId="0" fontId="32" fillId="0" borderId="0" xfId="0" applyFont="1" applyFill="1" applyBorder="1" applyAlignment="1"/>
    <xf numFmtId="0" fontId="2" fillId="0" borderId="0" xfId="0" applyFont="1" applyFill="1" applyBorder="1" applyAlignment="1"/>
    <xf numFmtId="0" fontId="33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43" fontId="23" fillId="0" borderId="13" xfId="0" applyNumberFormat="1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Border="1"/>
    <xf numFmtId="0" fontId="3" fillId="0" borderId="0" xfId="0" applyFont="1" applyFill="1" applyBorder="1" applyAlignment="1"/>
    <xf numFmtId="0" fontId="0" fillId="0" borderId="0" xfId="0" applyBorder="1" applyAlignment="1"/>
    <xf numFmtId="43" fontId="2" fillId="0" borderId="4" xfId="0" applyNumberFormat="1" applyFont="1" applyBorder="1"/>
    <xf numFmtId="168" fontId="2" fillId="0" borderId="4" xfId="0" applyNumberFormat="1" applyFont="1" applyBorder="1"/>
    <xf numFmtId="4" fontId="2" fillId="0" borderId="4" xfId="0" applyNumberFormat="1" applyFont="1" applyBorder="1"/>
    <xf numFmtId="43" fontId="2" fillId="2" borderId="4" xfId="2" applyFont="1" applyFill="1" applyBorder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14" xfId="0" applyFont="1" applyFill="1" applyBorder="1"/>
    <xf numFmtId="0" fontId="2" fillId="0" borderId="8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15" xfId="0" applyFont="1" applyFill="1" applyBorder="1"/>
    <xf numFmtId="0" fontId="2" fillId="0" borderId="15" xfId="0" applyFont="1" applyFill="1" applyBorder="1"/>
    <xf numFmtId="43" fontId="2" fillId="0" borderId="7" xfId="0" applyNumberFormat="1" applyFont="1" applyFill="1" applyBorder="1"/>
    <xf numFmtId="43" fontId="2" fillId="0" borderId="4" xfId="0" applyNumberFormat="1" applyFont="1" applyFill="1" applyBorder="1"/>
    <xf numFmtId="43" fontId="3" fillId="0" borderId="5" xfId="0" applyNumberFormat="1" applyFont="1" applyFill="1" applyBorder="1"/>
    <xf numFmtId="164" fontId="23" fillId="0" borderId="13" xfId="2" applyNumberFormat="1" applyFont="1" applyFill="1" applyBorder="1"/>
    <xf numFmtId="0" fontId="0" fillId="0" borderId="0" xfId="0" applyFill="1" applyAlignment="1">
      <alignment horizontal="center"/>
    </xf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34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5" fillId="0" borderId="0" xfId="0" applyFont="1"/>
    <xf numFmtId="0" fontId="33" fillId="0" borderId="0" xfId="0" applyFont="1" applyFill="1" applyBorder="1"/>
    <xf numFmtId="0" fontId="36" fillId="0" borderId="0" xfId="0" applyFont="1" applyFill="1" applyBorder="1" applyAlignment="1">
      <alignment horizontal="left"/>
    </xf>
    <xf numFmtId="0" fontId="37" fillId="0" borderId="0" xfId="0" applyFont="1" applyFill="1" applyBorder="1"/>
    <xf numFmtId="0" fontId="37" fillId="0" borderId="0" xfId="0" applyFont="1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9" fillId="0" borderId="14" xfId="0" applyFont="1" applyFill="1" applyBorder="1" applyAlignment="1">
      <alignment horizontal="left"/>
    </xf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32" fillId="0" borderId="14" xfId="0" applyFont="1" applyFill="1" applyBorder="1" applyAlignment="1"/>
    <xf numFmtId="0" fontId="29" fillId="0" borderId="14" xfId="0" applyFont="1" applyFill="1" applyBorder="1" applyAlignment="1"/>
    <xf numFmtId="0" fontId="38" fillId="0" borderId="14" xfId="0" applyFont="1" applyFill="1" applyBorder="1" applyAlignment="1"/>
    <xf numFmtId="0" fontId="32" fillId="0" borderId="15" xfId="0" applyFont="1" applyFill="1" applyBorder="1" applyAlignment="1"/>
    <xf numFmtId="0" fontId="29" fillId="0" borderId="15" xfId="0" applyFont="1" applyFill="1" applyBorder="1" applyAlignment="1"/>
    <xf numFmtId="0" fontId="23" fillId="0" borderId="3" xfId="0" applyFont="1" applyBorder="1"/>
    <xf numFmtId="0" fontId="23" fillId="0" borderId="15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43" fontId="23" fillId="0" borderId="0" xfId="0" applyNumberFormat="1" applyFont="1"/>
    <xf numFmtId="0" fontId="3" fillId="0" borderId="0" xfId="0" applyFont="1" applyFill="1" applyAlignment="1">
      <alignment horizontal="left"/>
    </xf>
    <xf numFmtId="10" fontId="23" fillId="0" borderId="0" xfId="0" applyNumberFormat="1" applyFont="1"/>
    <xf numFmtId="0" fontId="22" fillId="0" borderId="0" xfId="0" applyFont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4" xfId="0" applyFont="1" applyBorder="1"/>
    <xf numFmtId="0" fontId="23" fillId="3" borderId="1" xfId="0" applyFont="1" applyFill="1" applyBorder="1"/>
    <xf numFmtId="0" fontId="23" fillId="3" borderId="0" xfId="0" applyFont="1" applyFill="1" applyBorder="1"/>
    <xf numFmtId="0" fontId="23" fillId="3" borderId="0" xfId="0" applyFont="1" applyFill="1" applyBorder="1" applyAlignment="1">
      <alignment horizontal="center"/>
    </xf>
    <xf numFmtId="0" fontId="23" fillId="3" borderId="4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39" fillId="0" borderId="14" xfId="0" applyFont="1" applyBorder="1" applyAlignment="1">
      <alignment horizontal="left"/>
    </xf>
    <xf numFmtId="0" fontId="39" fillId="0" borderId="14" xfId="0" applyFont="1" applyBorder="1" applyAlignment="1"/>
    <xf numFmtId="0" fontId="40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3" fillId="0" borderId="6" xfId="0" applyFont="1" applyFill="1" applyBorder="1"/>
    <xf numFmtId="0" fontId="23" fillId="0" borderId="14" xfId="0" applyFont="1" applyFill="1" applyBorder="1"/>
    <xf numFmtId="0" fontId="23" fillId="0" borderId="8" xfId="0" applyFont="1" applyFill="1" applyBorder="1"/>
    <xf numFmtId="0" fontId="23" fillId="0" borderId="3" xfId="0" applyFont="1" applyFill="1" applyBorder="1"/>
    <xf numFmtId="0" fontId="23" fillId="0" borderId="15" xfId="0" applyFont="1" applyFill="1" applyBorder="1"/>
    <xf numFmtId="0" fontId="23" fillId="0" borderId="9" xfId="0" applyFont="1" applyFill="1" applyBorder="1"/>
    <xf numFmtId="2" fontId="23" fillId="0" borderId="4" xfId="0" applyNumberFormat="1" applyFont="1" applyBorder="1"/>
    <xf numFmtId="0" fontId="2" fillId="0" borderId="9" xfId="0" applyFont="1" applyFill="1" applyBorder="1" applyAlignment="1">
      <alignment horizontal="center"/>
    </xf>
    <xf numFmtId="164" fontId="2" fillId="0" borderId="0" xfId="2" applyNumberFormat="1" applyFont="1" applyFill="1" applyBorder="1" applyAlignment="1"/>
    <xf numFmtId="0" fontId="23" fillId="0" borderId="1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4" xfId="0" applyBorder="1"/>
    <xf numFmtId="0" fontId="33" fillId="0" borderId="0" xfId="0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0" xfId="0" applyFill="1" applyBorder="1" applyAlignment="1">
      <alignment horizontal="right"/>
    </xf>
    <xf numFmtId="10" fontId="23" fillId="0" borderId="8" xfId="0" applyNumberFormat="1" applyFont="1" applyFill="1" applyBorder="1"/>
    <xf numFmtId="0" fontId="23" fillId="0" borderId="9" xfId="0" applyNumberFormat="1" applyFont="1" applyFill="1" applyBorder="1"/>
    <xf numFmtId="0" fontId="41" fillId="0" borderId="0" xfId="0" applyFont="1" applyFill="1"/>
    <xf numFmtId="0" fontId="23" fillId="0" borderId="10" xfId="0" applyFont="1" applyFill="1" applyBorder="1"/>
    <xf numFmtId="0" fontId="23" fillId="0" borderId="11" xfId="0" applyFont="1" applyFill="1" applyBorder="1"/>
    <xf numFmtId="43" fontId="23" fillId="0" borderId="13" xfId="2" applyFont="1" applyFill="1" applyBorder="1"/>
    <xf numFmtId="0" fontId="28" fillId="0" borderId="0" xfId="0" applyFont="1" applyFill="1" applyBorder="1"/>
    <xf numFmtId="0" fontId="0" fillId="0" borderId="0" xfId="0" applyNumberFormat="1" applyAlignment="1">
      <alignment horizontal="left"/>
    </xf>
    <xf numFmtId="174" fontId="0" fillId="0" borderId="0" xfId="0" applyNumberFormat="1" applyAlignment="1">
      <alignment horizontal="left"/>
    </xf>
    <xf numFmtId="0" fontId="0" fillId="0" borderId="8" xfId="0" applyBorder="1" applyAlignment="1">
      <alignment horizontal="center"/>
    </xf>
    <xf numFmtId="3" fontId="23" fillId="0" borderId="13" xfId="0" applyNumberFormat="1" applyFont="1" applyBorder="1"/>
    <xf numFmtId="0" fontId="23" fillId="0" borderId="11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2" fillId="0" borderId="13" xfId="0" applyFont="1" applyBorder="1" applyAlignment="1">
      <alignment horizontal="center" vertical="center" wrapText="1"/>
    </xf>
    <xf numFmtId="0" fontId="0" fillId="0" borderId="13" xfId="0" applyBorder="1"/>
    <xf numFmtId="0" fontId="0" fillId="0" borderId="12" xfId="0" applyBorder="1"/>
    <xf numFmtId="3" fontId="42" fillId="0" borderId="0" xfId="0" applyNumberFormat="1" applyFont="1" applyAlignment="1">
      <alignment horizontal="right" vertical="center"/>
    </xf>
    <xf numFmtId="165" fontId="42" fillId="0" borderId="0" xfId="0" applyNumberFormat="1" applyFont="1" applyAlignment="1">
      <alignment horizontal="right" vertical="center"/>
    </xf>
    <xf numFmtId="3" fontId="42" fillId="0" borderId="0" xfId="0" applyNumberFormat="1" applyFont="1" applyFill="1" applyBorder="1" applyAlignment="1">
      <alignment horizontal="right" vertical="center"/>
    </xf>
    <xf numFmtId="0" fontId="22" fillId="0" borderId="6" xfId="0" applyFont="1" applyBorder="1"/>
    <xf numFmtId="0" fontId="22" fillId="0" borderId="1" xfId="0" applyFont="1" applyBorder="1"/>
    <xf numFmtId="0" fontId="22" fillId="0" borderId="3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3" fontId="0" fillId="0" borderId="0" xfId="0" applyNumberFormat="1"/>
    <xf numFmtId="0" fontId="2" fillId="0" borderId="2" xfId="0" applyFont="1" applyBorder="1" applyAlignment="1">
      <alignment horizontal="center"/>
    </xf>
    <xf numFmtId="164" fontId="22" fillId="0" borderId="4" xfId="0" applyNumberFormat="1" applyFont="1" applyFill="1" applyBorder="1"/>
    <xf numFmtId="0" fontId="22" fillId="0" borderId="0" xfId="0" applyFont="1" applyBorder="1" applyAlignment="1"/>
    <xf numFmtId="0" fontId="23" fillId="0" borderId="13" xfId="0" applyFont="1" applyBorder="1" applyAlignment="1">
      <alignment horizontal="center"/>
    </xf>
    <xf numFmtId="0" fontId="22" fillId="0" borderId="0" xfId="0" applyFont="1" applyAlignment="1"/>
    <xf numFmtId="0" fontId="22" fillId="0" borderId="14" xfId="0" applyFont="1" applyBorder="1" applyAlignment="1">
      <alignment horizontal="center"/>
    </xf>
    <xf numFmtId="0" fontId="22" fillId="0" borderId="14" xfId="0" applyFont="1" applyBorder="1"/>
    <xf numFmtId="0" fontId="22" fillId="0" borderId="8" xfId="0" applyFont="1" applyBorder="1" applyAlignment="1">
      <alignment horizontal="center"/>
    </xf>
    <xf numFmtId="2" fontId="22" fillId="2" borderId="7" xfId="0" applyNumberFormat="1" applyFont="1" applyFill="1" applyBorder="1"/>
    <xf numFmtId="0" fontId="22" fillId="0" borderId="7" xfId="0" applyFont="1" applyBorder="1" applyAlignment="1">
      <alignment horizontal="center"/>
    </xf>
    <xf numFmtId="0" fontId="22" fillId="0" borderId="0" xfId="0" applyFont="1" applyBorder="1"/>
    <xf numFmtId="0" fontId="22" fillId="0" borderId="2" xfId="0" applyFont="1" applyBorder="1" applyAlignment="1">
      <alignment horizont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2" fillId="2" borderId="4" xfId="0" applyFont="1" applyFill="1" applyBorder="1"/>
    <xf numFmtId="0" fontId="22" fillId="0" borderId="4" xfId="0" applyFont="1" applyFill="1" applyBorder="1"/>
    <xf numFmtId="43" fontId="22" fillId="2" borderId="4" xfId="2" applyFont="1" applyFill="1" applyBorder="1"/>
    <xf numFmtId="164" fontId="22" fillId="2" borderId="4" xfId="2" applyNumberFormat="1" applyFont="1" applyFill="1" applyBorder="1"/>
    <xf numFmtId="2" fontId="22" fillId="2" borderId="4" xfId="0" applyNumberFormat="1" applyFont="1" applyFill="1" applyBorder="1"/>
    <xf numFmtId="2" fontId="22" fillId="0" borderId="4" xfId="0" applyNumberFormat="1" applyFont="1" applyFill="1" applyBorder="1"/>
    <xf numFmtId="0" fontId="22" fillId="0" borderId="15" xfId="0" applyFont="1" applyBorder="1"/>
    <xf numFmtId="0" fontId="22" fillId="0" borderId="9" xfId="0" applyFont="1" applyBorder="1" applyAlignment="1">
      <alignment horizontal="center"/>
    </xf>
    <xf numFmtId="164" fontId="22" fillId="2" borderId="5" xfId="2" applyNumberFormat="1" applyFont="1" applyFill="1" applyBorder="1"/>
    <xf numFmtId="0" fontId="22" fillId="0" borderId="5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2" fillId="0" borderId="8" xfId="0" applyFont="1" applyBorder="1"/>
    <xf numFmtId="0" fontId="22" fillId="0" borderId="2" xfId="0" applyFont="1" applyBorder="1"/>
    <xf numFmtId="0" fontId="22" fillId="0" borderId="9" xfId="0" applyFont="1" applyBorder="1"/>
    <xf numFmtId="0" fontId="22" fillId="0" borderId="10" xfId="0" applyFont="1" applyBorder="1"/>
    <xf numFmtId="0" fontId="22" fillId="0" borderId="13" xfId="0" applyFont="1" applyBorder="1" applyAlignment="1">
      <alignment horizontal="center"/>
    </xf>
    <xf numFmtId="8" fontId="22" fillId="0" borderId="0" xfId="0" applyNumberFormat="1" applyFont="1"/>
    <xf numFmtId="0" fontId="22" fillId="0" borderId="11" xfId="0" applyFont="1" applyBorder="1"/>
    <xf numFmtId="0" fontId="22" fillId="0" borderId="11" xfId="0" applyFont="1" applyBorder="1" applyAlignment="1">
      <alignment horizontal="center"/>
    </xf>
    <xf numFmtId="8" fontId="22" fillId="2" borderId="0" xfId="0" applyNumberFormat="1" applyFont="1" applyFill="1"/>
    <xf numFmtId="164" fontId="22" fillId="0" borderId="7" xfId="0" applyNumberFormat="1" applyFont="1" applyBorder="1"/>
    <xf numFmtId="164" fontId="22" fillId="0" borderId="4" xfId="0" applyNumberFormat="1" applyFont="1" applyBorder="1"/>
    <xf numFmtId="164" fontId="22" fillId="0" borderId="4" xfId="2" applyNumberFormat="1" applyFont="1" applyBorder="1"/>
    <xf numFmtId="2" fontId="22" fillId="0" borderId="4" xfId="0" applyNumberFormat="1" applyFont="1" applyBorder="1"/>
    <xf numFmtId="166" fontId="22" fillId="0" borderId="0" xfId="0" applyNumberFormat="1" applyFont="1" applyBorder="1"/>
    <xf numFmtId="166" fontId="22" fillId="0" borderId="0" xfId="0" applyNumberFormat="1" applyFont="1" applyBorder="1" applyAlignment="1"/>
    <xf numFmtId="43" fontId="22" fillId="0" borderId="4" xfId="2" applyNumberFormat="1" applyFont="1" applyBorder="1"/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43" fontId="22" fillId="0" borderId="4" xfId="0" applyNumberFormat="1" applyFont="1" applyBorder="1"/>
    <xf numFmtId="0" fontId="22" fillId="0" borderId="1" xfId="0" applyFont="1" applyBorder="1" applyAlignment="1">
      <alignment horizontal="right"/>
    </xf>
    <xf numFmtId="171" fontId="22" fillId="0" borderId="0" xfId="0" applyNumberFormat="1" applyFont="1" applyBorder="1"/>
    <xf numFmtId="9" fontId="22" fillId="0" borderId="0" xfId="0" applyNumberFormat="1" applyFont="1" applyBorder="1" applyAlignment="1">
      <alignment horizontal="center"/>
    </xf>
    <xf numFmtId="164" fontId="22" fillId="0" borderId="5" xfId="0" applyNumberFormat="1" applyFont="1" applyBorder="1"/>
    <xf numFmtId="0" fontId="22" fillId="0" borderId="0" xfId="0" applyFont="1" applyAlignment="1">
      <alignment horizontal="right"/>
    </xf>
    <xf numFmtId="3" fontId="22" fillId="0" borderId="4" xfId="0" applyNumberFormat="1" applyFont="1" applyBorder="1"/>
    <xf numFmtId="43" fontId="22" fillId="0" borderId="11" xfId="0" applyNumberFormat="1" applyFont="1" applyBorder="1"/>
    <xf numFmtId="0" fontId="22" fillId="0" borderId="12" xfId="0" applyFont="1" applyBorder="1" applyAlignment="1">
      <alignment horizontal="center"/>
    </xf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7" xfId="0" applyFont="1" applyBorder="1"/>
    <xf numFmtId="9" fontId="22" fillId="0" borderId="0" xfId="0" applyNumberFormat="1" applyFont="1" applyBorder="1"/>
    <xf numFmtId="4" fontId="22" fillId="0" borderId="4" xfId="0" applyNumberFormat="1" applyFont="1" applyBorder="1"/>
    <xf numFmtId="168" fontId="22" fillId="0" borderId="4" xfId="0" applyNumberFormat="1" applyFont="1" applyBorder="1"/>
    <xf numFmtId="43" fontId="22" fillId="0" borderId="5" xfId="2" applyFont="1" applyBorder="1"/>
    <xf numFmtId="164" fontId="22" fillId="2" borderId="4" xfId="2" applyNumberFormat="1" applyFont="1" applyFill="1" applyBorder="1" applyAlignment="1">
      <alignment horizontal="right"/>
    </xf>
    <xf numFmtId="0" fontId="22" fillId="2" borderId="4" xfId="0" applyFont="1" applyFill="1" applyBorder="1" applyAlignment="1">
      <alignment horizontal="right"/>
    </xf>
    <xf numFmtId="43" fontId="22" fillId="0" borderId="4" xfId="2" applyFont="1" applyBorder="1"/>
    <xf numFmtId="164" fontId="22" fillId="0" borderId="0" xfId="0" applyNumberFormat="1" applyFont="1" applyBorder="1"/>
    <xf numFmtId="43" fontId="23" fillId="0" borderId="0" xfId="0" applyNumberFormat="1" applyFont="1" applyBorder="1"/>
    <xf numFmtId="43" fontId="22" fillId="0" borderId="0" xfId="0" applyNumberFormat="1" applyFont="1" applyFill="1" applyBorder="1"/>
    <xf numFmtId="0" fontId="0" fillId="0" borderId="0" xfId="0" applyAlignment="1">
      <alignment horizontal="center"/>
    </xf>
    <xf numFmtId="2" fontId="22" fillId="0" borderId="0" xfId="0" applyNumberFormat="1" applyFont="1" applyFill="1" applyBorder="1"/>
    <xf numFmtId="0" fontId="22" fillId="0" borderId="15" xfId="0" applyFont="1" applyFill="1" applyBorder="1"/>
    <xf numFmtId="0" fontId="22" fillId="0" borderId="15" xfId="0" applyFont="1" applyFill="1" applyBorder="1" applyAlignment="1">
      <alignment horizontal="center"/>
    </xf>
    <xf numFmtId="164" fontId="22" fillId="0" borderId="0" xfId="2" applyNumberFormat="1" applyFont="1" applyFill="1" applyBorder="1"/>
    <xf numFmtId="0" fontId="22" fillId="0" borderId="11" xfId="0" applyFont="1" applyFill="1" applyBorder="1"/>
    <xf numFmtId="0" fontId="22" fillId="0" borderId="15" xfId="0" applyFont="1" applyBorder="1" applyAlignment="1">
      <alignment horizontal="center"/>
    </xf>
    <xf numFmtId="0" fontId="22" fillId="0" borderId="0" xfId="0" applyFont="1" applyFill="1" applyBorder="1" applyAlignment="1"/>
    <xf numFmtId="43" fontId="22" fillId="0" borderId="0" xfId="0" applyNumberFormat="1" applyFont="1"/>
    <xf numFmtId="0" fontId="22" fillId="0" borderId="0" xfId="0" applyFont="1" applyAlignment="1">
      <alignment vertical="justify" wrapText="1"/>
    </xf>
    <xf numFmtId="0" fontId="22" fillId="0" borderId="11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0" xfId="0" applyFont="1" applyFill="1" applyBorder="1"/>
    <xf numFmtId="0" fontId="22" fillId="0" borderId="12" xfId="0" applyFont="1" applyFill="1" applyBorder="1"/>
    <xf numFmtId="0" fontId="22" fillId="0" borderId="13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vertical="justify" wrapText="1"/>
    </xf>
    <xf numFmtId="9" fontId="22" fillId="0" borderId="0" xfId="0" applyNumberFormat="1" applyFont="1" applyFill="1" applyBorder="1" applyAlignment="1">
      <alignment horizontal="left"/>
    </xf>
    <xf numFmtId="0" fontId="23" fillId="0" borderId="0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2" fillId="0" borderId="6" xfId="0" applyFont="1" applyFill="1" applyBorder="1"/>
    <xf numFmtId="0" fontId="22" fillId="0" borderId="14" xfId="0" applyFont="1" applyFill="1" applyBorder="1"/>
    <xf numFmtId="0" fontId="22" fillId="0" borderId="14" xfId="0" applyFont="1" applyFill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42" fillId="0" borderId="0" xfId="0" applyFont="1" applyAlignment="1">
      <alignment horizontal="justify" vertical="center"/>
    </xf>
    <xf numFmtId="0" fontId="42" fillId="0" borderId="7" xfId="0" applyFont="1" applyBorder="1" applyAlignment="1">
      <alignment horizontal="center" vertical="center"/>
    </xf>
    <xf numFmtId="3" fontId="42" fillId="0" borderId="23" xfId="0" applyNumberFormat="1" applyFont="1" applyBorder="1" applyAlignment="1">
      <alignment horizontal="right" vertical="center"/>
    </xf>
    <xf numFmtId="3" fontId="42" fillId="0" borderId="24" xfId="0" applyNumberFormat="1" applyFont="1" applyBorder="1" applyAlignment="1">
      <alignment horizontal="right" vertical="center"/>
    </xf>
    <xf numFmtId="165" fontId="42" fillId="0" borderId="24" xfId="0" applyNumberFormat="1" applyFont="1" applyBorder="1" applyAlignment="1">
      <alignment horizontal="right" vertical="center"/>
    </xf>
    <xf numFmtId="3" fontId="42" fillId="0" borderId="25" xfId="0" applyNumberFormat="1" applyFont="1" applyBorder="1" applyAlignment="1">
      <alignment horizontal="right" vertical="center"/>
    </xf>
    <xf numFmtId="3" fontId="42" fillId="0" borderId="26" xfId="0" applyNumberFormat="1" applyFont="1" applyBorder="1" applyAlignment="1">
      <alignment horizontal="right" vertical="center"/>
    </xf>
    <xf numFmtId="3" fontId="42" fillId="0" borderId="0" xfId="0" applyNumberFormat="1" applyFont="1" applyBorder="1" applyAlignment="1">
      <alignment horizontal="right" vertical="center"/>
    </xf>
    <xf numFmtId="165" fontId="42" fillId="0" borderId="0" xfId="0" applyNumberFormat="1" applyFont="1" applyBorder="1" applyAlignment="1">
      <alignment horizontal="right" vertical="center"/>
    </xf>
    <xf numFmtId="3" fontId="42" fillId="0" borderId="27" xfId="0" applyNumberFormat="1" applyFont="1" applyBorder="1" applyAlignment="1">
      <alignment horizontal="right" vertical="center"/>
    </xf>
    <xf numFmtId="3" fontId="42" fillId="0" borderId="27" xfId="0" applyNumberFormat="1" applyFont="1" applyFill="1" applyBorder="1" applyAlignment="1">
      <alignment horizontal="right" vertical="center"/>
    </xf>
    <xf numFmtId="3" fontId="42" fillId="0" borderId="26" xfId="0" applyNumberFormat="1" applyFont="1" applyBorder="1"/>
    <xf numFmtId="3" fontId="42" fillId="0" borderId="28" xfId="0" applyNumberFormat="1" applyFont="1" applyBorder="1" applyAlignment="1">
      <alignment horizontal="right" vertical="center"/>
    </xf>
    <xf numFmtId="3" fontId="42" fillId="0" borderId="29" xfId="0" applyNumberFormat="1" applyFont="1" applyBorder="1" applyAlignment="1">
      <alignment horizontal="right" vertical="center"/>
    </xf>
    <xf numFmtId="165" fontId="42" fillId="0" borderId="29" xfId="0" applyNumberFormat="1" applyFont="1" applyBorder="1" applyAlignment="1">
      <alignment horizontal="right" vertical="center"/>
    </xf>
    <xf numFmtId="3" fontId="42" fillId="0" borderId="29" xfId="0" applyNumberFormat="1" applyFont="1" applyFill="1" applyBorder="1" applyAlignment="1">
      <alignment horizontal="right" vertical="center"/>
    </xf>
    <xf numFmtId="3" fontId="42" fillId="0" borderId="30" xfId="0" applyNumberFormat="1" applyFont="1" applyFill="1" applyBorder="1" applyAlignment="1">
      <alignment horizontal="right" vertical="center"/>
    </xf>
    <xf numFmtId="0" fontId="43" fillId="4" borderId="0" xfId="0" applyFont="1" applyFill="1" applyAlignment="1">
      <alignment vertical="center" wrapText="1"/>
    </xf>
    <xf numFmtId="14" fontId="43" fillId="4" borderId="0" xfId="0" applyNumberFormat="1" applyFont="1" applyFill="1" applyAlignment="1">
      <alignment vertical="center" wrapText="1"/>
    </xf>
    <xf numFmtId="0" fontId="43" fillId="5" borderId="0" xfId="0" applyFont="1" applyFill="1" applyAlignment="1">
      <alignment vertical="center" wrapText="1"/>
    </xf>
    <xf numFmtId="14" fontId="43" fillId="5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vertical="center"/>
    </xf>
    <xf numFmtId="0" fontId="3" fillId="6" borderId="13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horizontal="center" vertical="center"/>
    </xf>
    <xf numFmtId="3" fontId="2" fillId="7" borderId="13" xfId="0" applyNumberFormat="1" applyFont="1" applyFill="1" applyBorder="1" applyAlignment="1">
      <alignment vertical="center"/>
    </xf>
    <xf numFmtId="0" fontId="8" fillId="8" borderId="13" xfId="0" applyFont="1" applyFill="1" applyBorder="1" applyAlignment="1">
      <alignment vertical="center"/>
    </xf>
    <xf numFmtId="3" fontId="8" fillId="8" borderId="13" xfId="0" applyNumberFormat="1" applyFont="1" applyFill="1" applyBorder="1" applyAlignment="1">
      <alignment vertical="center"/>
    </xf>
    <xf numFmtId="179" fontId="22" fillId="0" borderId="7" xfId="0" applyNumberFormat="1" applyFont="1" applyBorder="1" applyAlignment="1">
      <alignment horizontal="center"/>
    </xf>
    <xf numFmtId="181" fontId="2" fillId="0" borderId="0" xfId="0" applyNumberFormat="1" applyFont="1" applyFill="1" applyBorder="1"/>
    <xf numFmtId="10" fontId="0" fillId="0" borderId="0" xfId="0" applyNumberFormat="1"/>
    <xf numFmtId="177" fontId="23" fillId="0" borderId="14" xfId="0" applyNumberFormat="1" applyFont="1" applyBorder="1" applyAlignment="1"/>
    <xf numFmtId="0" fontId="21" fillId="0" borderId="14" xfId="0" applyFont="1" applyBorder="1"/>
    <xf numFmtId="0" fontId="21" fillId="0" borderId="8" xfId="0" applyFont="1" applyBorder="1" applyAlignment="1">
      <alignment horizontal="center"/>
    </xf>
    <xf numFmtId="0" fontId="0" fillId="0" borderId="8" xfId="0" applyFill="1" applyBorder="1" applyAlignment="1">
      <alignment horizontal="center"/>
    </xf>
    <xf numFmtId="9" fontId="0" fillId="0" borderId="0" xfId="0" applyNumberFormat="1"/>
    <xf numFmtId="174" fontId="22" fillId="0" borderId="0" xfId="0" applyNumberFormat="1" applyFont="1" applyFill="1" applyBorder="1" applyAlignment="1">
      <alignment horizontal="left"/>
    </xf>
    <xf numFmtId="0" fontId="22" fillId="0" borderId="3" xfId="0" applyFont="1" applyFill="1" applyBorder="1"/>
    <xf numFmtId="0" fontId="12" fillId="8" borderId="10" xfId="0" applyFont="1" applyFill="1" applyBorder="1" applyAlignment="1">
      <alignment vertical="center"/>
    </xf>
    <xf numFmtId="0" fontId="12" fillId="8" borderId="11" xfId="0" applyFont="1" applyFill="1" applyBorder="1" applyAlignment="1">
      <alignment vertical="center"/>
    </xf>
    <xf numFmtId="0" fontId="3" fillId="6" borderId="13" xfId="0" applyFont="1" applyFill="1" applyBorder="1" applyAlignment="1">
      <alignment horizontal="center" vertical="center" wrapText="1"/>
    </xf>
    <xf numFmtId="179" fontId="22" fillId="0" borderId="6" xfId="0" applyNumberFormat="1" applyFont="1" applyBorder="1" applyAlignment="1">
      <alignment horizontal="center"/>
    </xf>
    <xf numFmtId="179" fontId="22" fillId="0" borderId="1" xfId="0" applyNumberFormat="1" applyFont="1" applyBorder="1" applyAlignment="1">
      <alignment horizontal="center"/>
    </xf>
    <xf numFmtId="179" fontId="22" fillId="0" borderId="3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 indent="1"/>
    </xf>
    <xf numFmtId="0" fontId="22" fillId="0" borderId="5" xfId="0" applyFont="1" applyBorder="1"/>
    <xf numFmtId="164" fontId="22" fillId="0" borderId="0" xfId="0" applyNumberFormat="1" applyFont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2" fontId="22" fillId="2" borderId="5" xfId="0" applyNumberFormat="1" applyFont="1" applyFill="1" applyBorder="1"/>
    <xf numFmtId="8" fontId="22" fillId="0" borderId="0" xfId="0" applyNumberFormat="1" applyFont="1" applyFill="1"/>
    <xf numFmtId="43" fontId="22" fillId="0" borderId="7" xfId="0" applyNumberFormat="1" applyFont="1" applyFill="1" applyBorder="1" applyAlignment="1"/>
    <xf numFmtId="0" fontId="22" fillId="0" borderId="7" xfId="0" applyFont="1" applyFill="1" applyBorder="1" applyAlignment="1">
      <alignment horizontal="center"/>
    </xf>
    <xf numFmtId="0" fontId="22" fillId="0" borderId="1" xfId="0" applyFont="1" applyFill="1" applyBorder="1"/>
    <xf numFmtId="43" fontId="22" fillId="0" borderId="4" xfId="0" applyNumberFormat="1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169" fontId="22" fillId="0" borderId="4" xfId="0" applyNumberFormat="1" applyFont="1" applyFill="1" applyBorder="1"/>
    <xf numFmtId="43" fontId="22" fillId="0" borderId="4" xfId="0" applyNumberFormat="1" applyFont="1" applyFill="1" applyBorder="1"/>
    <xf numFmtId="43" fontId="22" fillId="0" borderId="4" xfId="2" applyFont="1" applyFill="1" applyBorder="1"/>
    <xf numFmtId="2" fontId="22" fillId="0" borderId="5" xfId="0" applyNumberFormat="1" applyFont="1" applyFill="1" applyBorder="1"/>
    <xf numFmtId="0" fontId="22" fillId="0" borderId="5" xfId="0" applyFont="1" applyFill="1" applyBorder="1" applyAlignment="1">
      <alignment horizontal="center"/>
    </xf>
    <xf numFmtId="169" fontId="22" fillId="0" borderId="0" xfId="0" applyNumberFormat="1" applyFont="1" applyFill="1" applyBorder="1"/>
    <xf numFmtId="43" fontId="22" fillId="0" borderId="0" xfId="2" applyNumberFormat="1" applyFont="1" applyFill="1" applyBorder="1"/>
    <xf numFmtId="0" fontId="22" fillId="0" borderId="0" xfId="0" applyFont="1" applyBorder="1" applyAlignment="1">
      <alignment vertical="justify"/>
    </xf>
    <xf numFmtId="0" fontId="22" fillId="0" borderId="0" xfId="0" applyFont="1" applyAlignment="1">
      <alignment vertical="justify"/>
    </xf>
    <xf numFmtId="173" fontId="22" fillId="0" borderId="0" xfId="0" applyNumberFormat="1" applyFont="1" applyAlignment="1"/>
    <xf numFmtId="0" fontId="22" fillId="0" borderId="0" xfId="0" applyNumberFormat="1" applyFont="1" applyAlignment="1">
      <alignment horizontal="left"/>
    </xf>
    <xf numFmtId="2" fontId="22" fillId="0" borderId="0" xfId="0" applyNumberFormat="1" applyFont="1" applyAlignment="1">
      <alignment horizontal="left"/>
    </xf>
    <xf numFmtId="0" fontId="22" fillId="0" borderId="10" xfId="0" applyFont="1" applyBorder="1" applyAlignment="1">
      <alignment horizontal="right"/>
    </xf>
    <xf numFmtId="8" fontId="22" fillId="0" borderId="4" xfId="2" applyNumberFormat="1" applyFont="1" applyBorder="1"/>
    <xf numFmtId="176" fontId="22" fillId="0" borderId="1" xfId="0" applyNumberFormat="1" applyFont="1" applyFill="1" applyBorder="1"/>
    <xf numFmtId="0" fontId="22" fillId="0" borderId="0" xfId="0" applyNumberFormat="1" applyFont="1"/>
    <xf numFmtId="0" fontId="22" fillId="0" borderId="14" xfId="0" applyFont="1" applyFill="1" applyBorder="1" applyAlignment="1"/>
    <xf numFmtId="43" fontId="22" fillId="0" borderId="0" xfId="0" applyNumberFormat="1" applyFont="1" applyFill="1" applyBorder="1" applyAlignment="1"/>
    <xf numFmtId="0" fontId="22" fillId="0" borderId="14" xfId="0" applyNumberFormat="1" applyFont="1" applyFill="1" applyBorder="1" applyAlignment="1"/>
    <xf numFmtId="178" fontId="22" fillId="0" borderId="14" xfId="0" applyNumberFormat="1" applyFont="1" applyFill="1" applyBorder="1"/>
    <xf numFmtId="0" fontId="22" fillId="0" borderId="7" xfId="0" applyFont="1" applyFill="1" applyBorder="1"/>
    <xf numFmtId="0" fontId="22" fillId="0" borderId="8" xfId="0" applyFont="1" applyFill="1" applyBorder="1" applyAlignment="1">
      <alignment horizontal="center"/>
    </xf>
    <xf numFmtId="172" fontId="22" fillId="0" borderId="0" xfId="0" applyNumberFormat="1" applyFont="1" applyAlignment="1"/>
    <xf numFmtId="172" fontId="22" fillId="0" borderId="0" xfId="0" applyNumberFormat="1" applyFont="1" applyAlignment="1">
      <alignment horizontal="left"/>
    </xf>
    <xf numFmtId="173" fontId="22" fillId="0" borderId="0" xfId="0" applyNumberFormat="1" applyFont="1" applyAlignment="1">
      <alignment horizontal="center"/>
    </xf>
    <xf numFmtId="0" fontId="23" fillId="0" borderId="0" xfId="0" applyFont="1" applyBorder="1" applyAlignment="1">
      <alignment horizontal="right"/>
    </xf>
    <xf numFmtId="8" fontId="22" fillId="0" borderId="0" xfId="0" applyNumberFormat="1" applyFont="1" applyFill="1" applyBorder="1"/>
    <xf numFmtId="0" fontId="28" fillId="0" borderId="0" xfId="0" applyFont="1" applyBorder="1"/>
    <xf numFmtId="43" fontId="22" fillId="0" borderId="15" xfId="2" applyNumberFormat="1" applyFont="1" applyFill="1" applyBorder="1"/>
    <xf numFmtId="0" fontId="0" fillId="0" borderId="0" xfId="0"/>
    <xf numFmtId="0" fontId="22" fillId="0" borderId="0" xfId="0" applyFont="1"/>
    <xf numFmtId="0" fontId="22" fillId="0" borderId="1" xfId="0" applyFont="1" applyBorder="1"/>
    <xf numFmtId="0" fontId="22" fillId="0" borderId="0" xfId="0" applyFont="1" applyBorder="1"/>
    <xf numFmtId="0" fontId="22" fillId="0" borderId="3" xfId="0" applyFont="1" applyBorder="1"/>
    <xf numFmtId="0" fontId="22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6" xfId="0" applyFont="1" applyBorder="1"/>
    <xf numFmtId="0" fontId="22" fillId="0" borderId="7" xfId="0" applyFont="1" applyBorder="1" applyAlignment="1">
      <alignment horizontal="center"/>
    </xf>
    <xf numFmtId="0" fontId="23" fillId="0" borderId="0" xfId="0" applyFont="1"/>
    <xf numFmtId="0" fontId="22" fillId="0" borderId="8" xfId="0" applyFont="1" applyBorder="1"/>
    <xf numFmtId="0" fontId="22" fillId="0" borderId="2" xfId="0" applyFont="1" applyBorder="1"/>
    <xf numFmtId="0" fontId="22" fillId="0" borderId="9" xfId="0" applyFont="1" applyBorder="1"/>
    <xf numFmtId="0" fontId="22" fillId="0" borderId="11" xfId="0" applyFont="1" applyBorder="1"/>
    <xf numFmtId="0" fontId="22" fillId="0" borderId="12" xfId="0" applyFont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15" xfId="0" applyBorder="1"/>
    <xf numFmtId="0" fontId="22" fillId="0" borderId="12" xfId="0" applyFont="1" applyBorder="1" applyAlignment="1">
      <alignment horizontal="center"/>
    </xf>
    <xf numFmtId="0" fontId="22" fillId="0" borderId="14" xfId="0" applyFont="1" applyBorder="1"/>
    <xf numFmtId="0" fontId="22" fillId="0" borderId="15" xfId="0" applyFont="1" applyBorder="1"/>
    <xf numFmtId="8" fontId="22" fillId="0" borderId="0" xfId="0" applyNumberFormat="1" applyFont="1"/>
    <xf numFmtId="2" fontId="22" fillId="0" borderId="4" xfId="0" applyNumberFormat="1" applyFont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center"/>
    </xf>
    <xf numFmtId="43" fontId="22" fillId="0" borderId="0" xfId="0" applyNumberFormat="1" applyFont="1" applyFill="1" applyBorder="1"/>
    <xf numFmtId="0" fontId="22" fillId="0" borderId="12" xfId="0" applyFont="1" applyFill="1" applyBorder="1" applyAlignment="1">
      <alignment horizontal="center"/>
    </xf>
    <xf numFmtId="10" fontId="0" fillId="0" borderId="0" xfId="0" applyNumberFormat="1"/>
    <xf numFmtId="0" fontId="22" fillId="0" borderId="0" xfId="0" applyFont="1" applyFill="1"/>
    <xf numFmtId="43" fontId="22" fillId="0" borderId="13" xfId="0" applyNumberFormat="1" applyFont="1" applyFill="1" applyBorder="1"/>
    <xf numFmtId="43" fontId="22" fillId="0" borderId="0" xfId="0" applyNumberFormat="1" applyFont="1" applyBorder="1"/>
    <xf numFmtId="0" fontId="22" fillId="0" borderId="0" xfId="0" quotePrefix="1" applyFont="1" applyFill="1" applyBorder="1"/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35" fillId="0" borderId="0" xfId="0" applyFont="1" applyFill="1" applyBorder="1"/>
    <xf numFmtId="43" fontId="23" fillId="0" borderId="13" xfId="0" applyNumberFormat="1" applyFont="1" applyFill="1" applyBorder="1"/>
    <xf numFmtId="0" fontId="23" fillId="0" borderId="14" xfId="0" applyFont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justify" wrapText="1"/>
    </xf>
    <xf numFmtId="0" fontId="22" fillId="0" borderId="0" xfId="0" applyFont="1" applyFill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22" fillId="0" borderId="6" xfId="0" applyFont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177" fontId="3" fillId="0" borderId="0" xfId="0" applyNumberFormat="1" applyFont="1" applyFill="1" applyBorder="1" applyAlignment="1">
      <alignment horizontal="left"/>
    </xf>
    <xf numFmtId="43" fontId="23" fillId="0" borderId="14" xfId="2" applyFont="1" applyFill="1" applyBorder="1"/>
    <xf numFmtId="0" fontId="2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2" fillId="0" borderId="2" xfId="0" applyFont="1" applyBorder="1" applyAlignment="1">
      <alignment horizontal="center"/>
    </xf>
    <xf numFmtId="43" fontId="3" fillId="0" borderId="4" xfId="2" applyNumberFormat="1" applyFont="1" applyBorder="1"/>
    <xf numFmtId="0" fontId="0" fillId="0" borderId="0" xfId="0" applyFill="1" applyAlignment="1"/>
    <xf numFmtId="14" fontId="43" fillId="0" borderId="0" xfId="0" applyNumberFormat="1" applyFont="1" applyFill="1" applyAlignment="1">
      <alignment vertical="center"/>
    </xf>
    <xf numFmtId="0" fontId="43" fillId="0" borderId="0" xfId="0" applyFont="1" applyFill="1" applyAlignment="1">
      <alignment vertical="center"/>
    </xf>
    <xf numFmtId="0" fontId="0" fillId="0" borderId="0" xfId="0" applyFont="1" applyFill="1" applyAlignment="1"/>
    <xf numFmtId="4" fontId="0" fillId="0" borderId="0" xfId="0" applyNumberFormat="1"/>
    <xf numFmtId="187" fontId="0" fillId="0" borderId="0" xfId="0" applyNumberFormat="1"/>
    <xf numFmtId="0" fontId="22" fillId="0" borderId="0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183" fontId="22" fillId="0" borderId="10" xfId="0" applyNumberFormat="1" applyFont="1" applyFill="1" applyBorder="1"/>
    <xf numFmtId="9" fontId="22" fillId="0" borderId="0" xfId="0" applyNumberFormat="1" applyFont="1" applyFill="1" applyBorder="1"/>
    <xf numFmtId="2" fontId="22" fillId="2" borderId="1" xfId="0" applyNumberFormat="1" applyFont="1" applyFill="1" applyBorder="1" applyAlignment="1">
      <alignment vertical="center"/>
    </xf>
    <xf numFmtId="0" fontId="22" fillId="2" borderId="2" xfId="0" applyFont="1" applyFill="1" applyBorder="1" applyAlignment="1">
      <alignment horizontal="center"/>
    </xf>
    <xf numFmtId="188" fontId="22" fillId="0" borderId="0" xfId="0" applyNumberFormat="1" applyFont="1" applyFill="1" applyBorder="1"/>
    <xf numFmtId="43" fontId="22" fillId="0" borderId="14" xfId="2" applyNumberFormat="1" applyFont="1" applyBorder="1"/>
    <xf numFmtId="0" fontId="22" fillId="0" borderId="0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3" fillId="6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5" fillId="0" borderId="6" xfId="0" applyFont="1" applyBorder="1"/>
    <xf numFmtId="0" fontId="45" fillId="0" borderId="14" xfId="0" applyFont="1" applyBorder="1"/>
    <xf numFmtId="0" fontId="46" fillId="0" borderId="14" xfId="0" applyFont="1" applyBorder="1"/>
    <xf numFmtId="0" fontId="39" fillId="0" borderId="14" xfId="0" applyFont="1" applyBorder="1"/>
    <xf numFmtId="0" fontId="39" fillId="0" borderId="14" xfId="0" applyFont="1" applyBorder="1" applyAlignment="1">
      <alignment horizontal="center"/>
    </xf>
    <xf numFmtId="43" fontId="47" fillId="0" borderId="14" xfId="0" applyNumberFormat="1" applyFont="1" applyFill="1" applyBorder="1"/>
    <xf numFmtId="0" fontId="46" fillId="0" borderId="1" xfId="0" applyFont="1" applyBorder="1"/>
    <xf numFmtId="0" fontId="46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Border="1"/>
    <xf numFmtId="0" fontId="22" fillId="0" borderId="2" xfId="0" applyFont="1" applyFill="1" applyBorder="1" applyAlignment="1">
      <alignment horizontal="center"/>
    </xf>
    <xf numFmtId="0" fontId="39" fillId="0" borderId="1" xfId="0" applyFont="1" applyBorder="1" applyAlignment="1">
      <alignment horizontal="left" indent="3"/>
    </xf>
    <xf numFmtId="184" fontId="39" fillId="0" borderId="0" xfId="0" applyNumberFormat="1" applyFont="1" applyBorder="1" applyAlignment="1">
      <alignment horizontal="left"/>
    </xf>
    <xf numFmtId="190" fontId="39" fillId="0" borderId="3" xfId="0" applyNumberFormat="1" applyFont="1" applyFill="1" applyBorder="1" applyAlignment="1">
      <alignment horizontal="right"/>
    </xf>
    <xf numFmtId="0" fontId="39" fillId="0" borderId="15" xfId="0" applyFont="1" applyFill="1" applyBorder="1"/>
    <xf numFmtId="0" fontId="39" fillId="0" borderId="15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48" fillId="9" borderId="0" xfId="0" applyFont="1" applyFill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/>
    </xf>
    <xf numFmtId="43" fontId="2" fillId="0" borderId="0" xfId="0" applyNumberFormat="1" applyFont="1" applyFill="1" applyBorder="1"/>
    <xf numFmtId="43" fontId="2" fillId="0" borderId="0" xfId="0" applyNumberFormat="1" applyFont="1" applyFill="1" applyBorder="1" applyAlignment="1"/>
    <xf numFmtId="177" fontId="3" fillId="0" borderId="0" xfId="0" applyNumberFormat="1" applyFont="1" applyFill="1" applyBorder="1" applyAlignment="1"/>
    <xf numFmtId="0" fontId="41" fillId="0" borderId="0" xfId="0" applyFont="1" applyFill="1" applyBorder="1"/>
    <xf numFmtId="43" fontId="3" fillId="0" borderId="0" xfId="0" applyNumberFormat="1" applyFont="1" applyFill="1" applyBorder="1"/>
    <xf numFmtId="0" fontId="22" fillId="0" borderId="9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0" fillId="0" borderId="0" xfId="0" applyFill="1" applyBorder="1" applyAlignment="1"/>
    <xf numFmtId="0" fontId="23" fillId="6" borderId="13" xfId="0" applyFont="1" applyFill="1" applyBorder="1"/>
    <xf numFmtId="0" fontId="23" fillId="6" borderId="13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5" xfId="0" applyFont="1" applyFill="1" applyBorder="1"/>
    <xf numFmtId="0" fontId="23" fillId="6" borderId="5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191" fontId="2" fillId="0" borderId="13" xfId="0" applyNumberFormat="1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vertical="center" wrapText="1"/>
    </xf>
    <xf numFmtId="191" fontId="2" fillId="10" borderId="13" xfId="0" applyNumberFormat="1" applyFont="1" applyFill="1" applyBorder="1" applyAlignment="1">
      <alignment vertical="center" wrapText="1"/>
    </xf>
    <xf numFmtId="4" fontId="2" fillId="10" borderId="13" xfId="0" applyNumberFormat="1" applyFont="1" applyFill="1" applyBorder="1" applyAlignment="1">
      <alignment vertical="center" wrapText="1"/>
    </xf>
    <xf numFmtId="3" fontId="2" fillId="10" borderId="13" xfId="0" applyNumberFormat="1" applyFont="1" applyFill="1" applyBorder="1" applyAlignment="1">
      <alignment horizontal="center" vertical="center" wrapText="1"/>
    </xf>
    <xf numFmtId="4" fontId="2" fillId="10" borderId="10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91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right" vertical="center" wrapText="1"/>
    </xf>
    <xf numFmtId="4" fontId="2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183" fontId="0" fillId="0" borderId="0" xfId="0" applyNumberFormat="1"/>
    <xf numFmtId="0" fontId="0" fillId="0" borderId="0" xfId="0" quotePrefix="1"/>
    <xf numFmtId="3" fontId="2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" fontId="2" fillId="11" borderId="13" xfId="0" applyNumberFormat="1" applyFont="1" applyFill="1" applyBorder="1" applyAlignment="1">
      <alignment vertical="center" wrapText="1"/>
    </xf>
    <xf numFmtId="2" fontId="0" fillId="0" borderId="0" xfId="0" applyNumberFormat="1"/>
    <xf numFmtId="178" fontId="22" fillId="0" borderId="0" xfId="0" applyNumberFormat="1" applyFont="1" applyFill="1" applyBorder="1" applyAlignment="1"/>
    <xf numFmtId="0" fontId="22" fillId="0" borderId="9" xfId="0" applyFont="1" applyBorder="1" applyAlignment="1">
      <alignment horizontal="center"/>
    </xf>
    <xf numFmtId="4" fontId="2" fillId="11" borderId="13" xfId="0" applyNumberFormat="1" applyFont="1" applyFill="1" applyBorder="1" applyAlignment="1">
      <alignment horizontal="right" vertical="center" wrapText="1"/>
    </xf>
    <xf numFmtId="0" fontId="23" fillId="6" borderId="5" xfId="0" applyFont="1" applyFill="1" applyBorder="1" applyAlignment="1">
      <alignment horizontal="center" vertical="center" wrapText="1"/>
    </xf>
    <xf numFmtId="191" fontId="0" fillId="0" borderId="0" xfId="0" applyNumberFormat="1"/>
    <xf numFmtId="0" fontId="3" fillId="10" borderId="13" xfId="0" applyFont="1" applyFill="1" applyBorder="1" applyAlignment="1">
      <alignment vertical="center" wrapText="1"/>
    </xf>
    <xf numFmtId="0" fontId="49" fillId="12" borderId="0" xfId="0" applyFont="1" applyFill="1"/>
    <xf numFmtId="192" fontId="17" fillId="12" borderId="0" xfId="0" applyNumberFormat="1" applyFont="1" applyFill="1"/>
    <xf numFmtId="0" fontId="0" fillId="12" borderId="0" xfId="0" applyFill="1"/>
    <xf numFmtId="0" fontId="49" fillId="12" borderId="1" xfId="0" applyFont="1" applyFill="1" applyBorder="1"/>
    <xf numFmtId="0" fontId="49" fillId="12" borderId="0" xfId="0" applyFont="1" applyFill="1" applyBorder="1"/>
    <xf numFmtId="0" fontId="50" fillId="13" borderId="0" xfId="0" applyFont="1" applyFill="1" applyBorder="1" applyAlignment="1">
      <alignment horizontal="center"/>
    </xf>
    <xf numFmtId="0" fontId="17" fillId="12" borderId="31" xfId="0" applyFont="1" applyFill="1" applyBorder="1"/>
    <xf numFmtId="0" fontId="17" fillId="12" borderId="32" xfId="0" applyFont="1" applyFill="1" applyBorder="1"/>
    <xf numFmtId="0" fontId="17" fillId="12" borderId="33" xfId="0" applyFont="1" applyFill="1" applyBorder="1"/>
    <xf numFmtId="0" fontId="17" fillId="12" borderId="34" xfId="0" applyFont="1" applyFill="1" applyBorder="1"/>
    <xf numFmtId="0" fontId="17" fillId="12" borderId="35" xfId="0" applyFont="1" applyFill="1" applyBorder="1"/>
    <xf numFmtId="0" fontId="17" fillId="12" borderId="36" xfId="0" applyFont="1" applyFill="1" applyBorder="1"/>
    <xf numFmtId="0" fontId="17" fillId="12" borderId="37" xfId="0" applyFont="1" applyFill="1" applyBorder="1"/>
    <xf numFmtId="0" fontId="17" fillId="12" borderId="0" xfId="0" applyFont="1" applyFill="1" applyBorder="1"/>
    <xf numFmtId="0" fontId="17" fillId="12" borderId="2" xfId="0" applyFont="1" applyFill="1" applyBorder="1"/>
    <xf numFmtId="0" fontId="49" fillId="12" borderId="2" xfId="0" applyFont="1" applyFill="1" applyBorder="1"/>
    <xf numFmtId="0" fontId="18" fillId="12" borderId="1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center" vertical="center"/>
    </xf>
    <xf numFmtId="0" fontId="18" fillId="12" borderId="0" xfId="0" applyFont="1" applyFill="1" applyBorder="1" applyAlignment="1">
      <alignment horizontal="left" vertical="center"/>
    </xf>
    <xf numFmtId="0" fontId="17" fillId="12" borderId="0" xfId="0" applyFont="1" applyFill="1" applyBorder="1" applyAlignment="1">
      <alignment vertical="center"/>
    </xf>
    <xf numFmtId="0" fontId="17" fillId="12" borderId="38" xfId="0" applyFont="1" applyFill="1" applyBorder="1"/>
    <xf numFmtId="0" fontId="17" fillId="14" borderId="39" xfId="0" applyFont="1" applyFill="1" applyBorder="1"/>
    <xf numFmtId="0" fontId="17" fillId="14" borderId="40" xfId="0" applyFont="1" applyFill="1" applyBorder="1"/>
    <xf numFmtId="0" fontId="17" fillId="12" borderId="41" xfId="0" applyFont="1" applyFill="1" applyBorder="1"/>
    <xf numFmtId="0" fontId="17" fillId="12" borderId="39" xfId="0" applyFont="1" applyFill="1" applyBorder="1"/>
    <xf numFmtId="0" fontId="17" fillId="12" borderId="40" xfId="0" applyFont="1" applyFill="1" applyBorder="1"/>
    <xf numFmtId="0" fontId="17" fillId="14" borderId="41" xfId="0" applyFont="1" applyFill="1" applyBorder="1"/>
    <xf numFmtId="0" fontId="17" fillId="12" borderId="1" xfId="0" applyFont="1" applyFill="1" applyBorder="1"/>
    <xf numFmtId="0" fontId="17" fillId="12" borderId="42" xfId="0" applyFont="1" applyFill="1" applyBorder="1"/>
    <xf numFmtId="0" fontId="17" fillId="12" borderId="43" xfId="0" applyFont="1" applyFill="1" applyBorder="1"/>
    <xf numFmtId="0" fontId="17" fillId="12" borderId="41" xfId="0" applyFont="1" applyFill="1" applyBorder="1" applyAlignment="1">
      <alignment vertical="center"/>
    </xf>
    <xf numFmtId="0" fontId="17" fillId="12" borderId="39" xfId="0" applyFont="1" applyFill="1" applyBorder="1" applyAlignment="1">
      <alignment vertical="center"/>
    </xf>
    <xf numFmtId="0" fontId="17" fillId="12" borderId="1" xfId="0" applyFont="1" applyFill="1" applyBorder="1" applyAlignment="1">
      <alignment horizontal="center" vertical="center"/>
    </xf>
    <xf numFmtId="0" fontId="17" fillId="12" borderId="0" xfId="0" applyFont="1" applyFill="1" applyBorder="1" applyAlignment="1">
      <alignment horizontal="right" vertical="center"/>
    </xf>
    <xf numFmtId="0" fontId="17" fillId="15" borderId="0" xfId="0" applyFont="1" applyFill="1" applyBorder="1"/>
    <xf numFmtId="0" fontId="17" fillId="15" borderId="2" xfId="0" applyFont="1" applyFill="1" applyBorder="1"/>
    <xf numFmtId="192" fontId="49" fillId="12" borderId="0" xfId="0" applyNumberFormat="1" applyFont="1" applyFill="1"/>
    <xf numFmtId="0" fontId="17" fillId="12" borderId="39" xfId="0" applyFont="1" applyFill="1" applyBorder="1" applyAlignment="1">
      <alignment horizontal="center" vertical="center"/>
    </xf>
    <xf numFmtId="0" fontId="17" fillId="12" borderId="39" xfId="0" applyFont="1" applyFill="1" applyBorder="1" applyAlignment="1">
      <alignment horizontal="right" vertical="center"/>
    </xf>
    <xf numFmtId="43" fontId="17" fillId="12" borderId="39" xfId="0" applyNumberFormat="1" applyFont="1" applyFill="1" applyBorder="1"/>
    <xf numFmtId="0" fontId="17" fillId="15" borderId="39" xfId="0" applyFont="1" applyFill="1" applyBorder="1"/>
    <xf numFmtId="0" fontId="17" fillId="15" borderId="40" xfId="0" applyFont="1" applyFill="1" applyBorder="1"/>
    <xf numFmtId="0" fontId="17" fillId="15" borderId="41" xfId="0" applyFont="1" applyFill="1" applyBorder="1"/>
    <xf numFmtId="43" fontId="17" fillId="12" borderId="0" xfId="0" applyNumberFormat="1" applyFont="1" applyFill="1" applyBorder="1"/>
    <xf numFmtId="43" fontId="17" fillId="12" borderId="1" xfId="2" applyFont="1" applyFill="1" applyBorder="1" applyAlignment="1"/>
    <xf numFmtId="43" fontId="17" fillId="12" borderId="0" xfId="2" applyFont="1" applyFill="1" applyBorder="1" applyAlignment="1"/>
    <xf numFmtId="43" fontId="17" fillId="12" borderId="2" xfId="2" applyFont="1" applyFill="1" applyBorder="1" applyAlignment="1"/>
    <xf numFmtId="0" fontId="0" fillId="12" borderId="0" xfId="0" applyFill="1" applyBorder="1"/>
    <xf numFmtId="0" fontId="17" fillId="12" borderId="16" xfId="0" applyFont="1" applyFill="1" applyBorder="1" applyAlignment="1">
      <alignment vertical="center"/>
    </xf>
    <xf numFmtId="0" fontId="17" fillId="12" borderId="17" xfId="0" applyFont="1" applyFill="1" applyBorder="1" applyAlignment="1">
      <alignment vertical="center"/>
    </xf>
    <xf numFmtId="0" fontId="17" fillId="12" borderId="17" xfId="0" applyFont="1" applyFill="1" applyBorder="1" applyAlignment="1">
      <alignment horizontal="right" vertical="center"/>
    </xf>
    <xf numFmtId="0" fontId="17" fillId="12" borderId="17" xfId="0" applyFont="1" applyFill="1" applyBorder="1"/>
    <xf numFmtId="0" fontId="17" fillId="12" borderId="16" xfId="0" applyFont="1" applyFill="1" applyBorder="1"/>
    <xf numFmtId="0" fontId="17" fillId="12" borderId="18" xfId="0" applyFont="1" applyFill="1" applyBorder="1"/>
    <xf numFmtId="164" fontId="17" fillId="12" borderId="39" xfId="0" applyNumberFormat="1" applyFont="1" applyFill="1" applyBorder="1"/>
    <xf numFmtId="0" fontId="17" fillId="15" borderId="41" xfId="0" applyFont="1" applyFill="1" applyBorder="1" applyAlignment="1"/>
    <xf numFmtId="0" fontId="17" fillId="15" borderId="39" xfId="0" applyFont="1" applyFill="1" applyBorder="1" applyAlignment="1"/>
    <xf numFmtId="0" fontId="17" fillId="15" borderId="40" xfId="0" applyFont="1" applyFill="1" applyBorder="1" applyAlignment="1"/>
    <xf numFmtId="2" fontId="17" fillId="15" borderId="41" xfId="0" applyNumberFormat="1" applyFont="1" applyFill="1" applyBorder="1" applyAlignment="1"/>
    <xf numFmtId="2" fontId="17" fillId="15" borderId="39" xfId="0" applyNumberFormat="1" applyFont="1" applyFill="1" applyBorder="1" applyAlignment="1"/>
    <xf numFmtId="164" fontId="17" fillId="15" borderId="39" xfId="0" applyNumberFormat="1" applyFont="1" applyFill="1" applyBorder="1" applyAlignment="1"/>
    <xf numFmtId="164" fontId="17" fillId="15" borderId="40" xfId="0" applyNumberFormat="1" applyFont="1" applyFill="1" applyBorder="1" applyAlignment="1"/>
    <xf numFmtId="0" fontId="17" fillId="15" borderId="1" xfId="0" applyFont="1" applyFill="1" applyBorder="1"/>
    <xf numFmtId="0" fontId="18" fillId="12" borderId="0" xfId="0" applyFont="1" applyFill="1" applyBorder="1"/>
    <xf numFmtId="0" fontId="18" fillId="12" borderId="1" xfId="0" applyFont="1" applyFill="1" applyBorder="1"/>
    <xf numFmtId="0" fontId="18" fillId="12" borderId="44" xfId="0" applyFont="1" applyFill="1" applyBorder="1"/>
    <xf numFmtId="0" fontId="17" fillId="12" borderId="44" xfId="0" applyFont="1" applyFill="1" applyBorder="1"/>
    <xf numFmtId="0" fontId="18" fillId="12" borderId="45" xfId="0" applyFont="1" applyFill="1" applyBorder="1"/>
    <xf numFmtId="0" fontId="18" fillId="12" borderId="46" xfId="0" applyFont="1" applyFill="1" applyBorder="1"/>
    <xf numFmtId="0" fontId="41" fillId="12" borderId="44" xfId="0" applyFont="1" applyFill="1" applyBorder="1"/>
    <xf numFmtId="0" fontId="18" fillId="14" borderId="44" xfId="0" applyFont="1" applyFill="1" applyBorder="1"/>
    <xf numFmtId="0" fontId="18" fillId="14" borderId="45" xfId="0" applyFont="1" applyFill="1" applyBorder="1"/>
    <xf numFmtId="0" fontId="18" fillId="14" borderId="46" xfId="0" applyFont="1" applyFill="1" applyBorder="1"/>
    <xf numFmtId="0" fontId="17" fillId="12" borderId="47" xfId="0" applyFont="1" applyFill="1" applyBorder="1"/>
    <xf numFmtId="0" fontId="17" fillId="12" borderId="48" xfId="0" applyFont="1" applyFill="1" applyBorder="1"/>
    <xf numFmtId="0" fontId="17" fillId="12" borderId="49" xfId="0" applyFont="1" applyFill="1" applyBorder="1"/>
    <xf numFmtId="0" fontId="49" fillId="12" borderId="39" xfId="0" applyFont="1" applyFill="1" applyBorder="1"/>
    <xf numFmtId="0" fontId="41" fillId="12" borderId="47" xfId="0" applyFont="1" applyFill="1" applyBorder="1"/>
    <xf numFmtId="0" fontId="17" fillId="15" borderId="47" xfId="0" applyFont="1" applyFill="1" applyBorder="1"/>
    <xf numFmtId="0" fontId="17" fillId="15" borderId="48" xfId="0" applyFont="1" applyFill="1" applyBorder="1"/>
    <xf numFmtId="0" fontId="17" fillId="12" borderId="39" xfId="0" applyFont="1" applyFill="1" applyBorder="1" applyAlignment="1">
      <alignment horizontal="left" vertical="center"/>
    </xf>
    <xf numFmtId="192" fontId="17" fillId="12" borderId="41" xfId="0" applyNumberFormat="1" applyFont="1" applyFill="1" applyBorder="1" applyAlignment="1"/>
    <xf numFmtId="192" fontId="17" fillId="12" borderId="47" xfId="0" applyNumberFormat="1" applyFont="1" applyFill="1" applyBorder="1" applyAlignment="1"/>
    <xf numFmtId="192" fontId="17" fillId="12" borderId="48" xfId="0" applyNumberFormat="1" applyFont="1" applyFill="1" applyBorder="1" applyAlignment="1"/>
    <xf numFmtId="192" fontId="17" fillId="12" borderId="49" xfId="0" applyNumberFormat="1" applyFont="1" applyFill="1" applyBorder="1" applyAlignment="1"/>
    <xf numFmtId="0" fontId="17" fillId="15" borderId="49" xfId="0" applyFont="1" applyFill="1" applyBorder="1"/>
    <xf numFmtId="0" fontId="17" fillId="12" borderId="19" xfId="0" applyFont="1" applyFill="1" applyBorder="1" applyAlignment="1">
      <alignment vertical="center"/>
    </xf>
    <xf numFmtId="0" fontId="17" fillId="12" borderId="20" xfId="0" applyFont="1" applyFill="1" applyBorder="1" applyAlignment="1">
      <alignment horizontal="center" vertical="center"/>
    </xf>
    <xf numFmtId="0" fontId="17" fillId="12" borderId="20" xfId="0" applyFont="1" applyFill="1" applyBorder="1" applyAlignment="1">
      <alignment vertical="center"/>
    </xf>
    <xf numFmtId="0" fontId="17" fillId="12" borderId="20" xfId="0" applyFont="1" applyFill="1" applyBorder="1" applyAlignment="1">
      <alignment horizontal="right" vertical="center"/>
    </xf>
    <xf numFmtId="192" fontId="17" fillId="12" borderId="20" xfId="0" applyNumberFormat="1" applyFont="1" applyFill="1" applyBorder="1" applyAlignment="1">
      <alignment horizontal="right"/>
    </xf>
    <xf numFmtId="0" fontId="49" fillId="12" borderId="20" xfId="0" applyFont="1" applyFill="1" applyBorder="1"/>
    <xf numFmtId="192" fontId="17" fillId="12" borderId="19" xfId="0" applyNumberFormat="1" applyFont="1" applyFill="1" applyBorder="1" applyAlignment="1">
      <alignment horizontal="left"/>
    </xf>
    <xf numFmtId="192" fontId="17" fillId="12" borderId="20" xfId="0" applyNumberFormat="1" applyFont="1" applyFill="1" applyBorder="1" applyAlignment="1">
      <alignment horizontal="left"/>
    </xf>
    <xf numFmtId="192" fontId="17" fillId="12" borderId="21" xfId="0" applyNumberFormat="1" applyFont="1" applyFill="1" applyBorder="1" applyAlignment="1">
      <alignment horizontal="left"/>
    </xf>
    <xf numFmtId="0" fontId="49" fillId="12" borderId="19" xfId="0" applyFont="1" applyFill="1" applyBorder="1"/>
    <xf numFmtId="192" fontId="49" fillId="12" borderId="20" xfId="0" applyNumberFormat="1" applyFont="1" applyFill="1" applyBorder="1" applyAlignment="1"/>
    <xf numFmtId="0" fontId="49" fillId="12" borderId="21" xfId="0" applyFont="1" applyFill="1" applyBorder="1" applyAlignment="1"/>
    <xf numFmtId="0" fontId="49" fillId="12" borderId="19" xfId="0" applyFont="1" applyFill="1" applyBorder="1" applyAlignment="1"/>
    <xf numFmtId="0" fontId="49" fillId="12" borderId="20" xfId="0" applyFont="1" applyFill="1" applyBorder="1" applyAlignment="1"/>
    <xf numFmtId="0" fontId="49" fillId="12" borderId="21" xfId="0" applyFont="1" applyFill="1" applyBorder="1"/>
    <xf numFmtId="43" fontId="49" fillId="12" borderId="21" xfId="2" applyFont="1" applyFill="1" applyBorder="1" applyAlignment="1"/>
    <xf numFmtId="43" fontId="49" fillId="12" borderId="20" xfId="2" applyFont="1" applyFill="1" applyBorder="1" applyAlignment="1"/>
    <xf numFmtId="43" fontId="51" fillId="12" borderId="21" xfId="2" applyFont="1" applyFill="1" applyBorder="1" applyAlignment="1"/>
    <xf numFmtId="43" fontId="51" fillId="12" borderId="19" xfId="2" applyFont="1" applyFill="1" applyBorder="1" applyAlignment="1"/>
    <xf numFmtId="43" fontId="51" fillId="12" borderId="20" xfId="2" applyFont="1" applyFill="1" applyBorder="1" applyAlignment="1"/>
    <xf numFmtId="43" fontId="49" fillId="12" borderId="20" xfId="0" applyNumberFormat="1" applyFont="1" applyFill="1" applyBorder="1" applyAlignment="1"/>
    <xf numFmtId="43" fontId="49" fillId="12" borderId="21" xfId="0" applyNumberFormat="1" applyFont="1" applyFill="1" applyBorder="1" applyAlignment="1"/>
    <xf numFmtId="43" fontId="49" fillId="12" borderId="19" xfId="0" applyNumberFormat="1" applyFont="1" applyFill="1" applyBorder="1" applyAlignment="1"/>
    <xf numFmtId="0" fontId="17" fillId="12" borderId="22" xfId="0" applyFont="1" applyFill="1" applyBorder="1" applyAlignment="1">
      <alignment vertical="center"/>
    </xf>
    <xf numFmtId="43" fontId="17" fillId="12" borderId="20" xfId="0" applyNumberFormat="1" applyFont="1" applyFill="1" applyBorder="1" applyAlignment="1">
      <alignment horizontal="center"/>
    </xf>
    <xf numFmtId="0" fontId="17" fillId="12" borderId="20" xfId="0" applyFont="1" applyFill="1" applyBorder="1" applyAlignment="1">
      <alignment horizontal="center"/>
    </xf>
    <xf numFmtId="0" fontId="17" fillId="12" borderId="20" xfId="0" applyFont="1" applyFill="1" applyBorder="1" applyAlignment="1"/>
    <xf numFmtId="43" fontId="49" fillId="12" borderId="20" xfId="0" applyNumberFormat="1" applyFont="1" applyFill="1" applyBorder="1" applyAlignment="1">
      <alignment horizontal="center"/>
    </xf>
    <xf numFmtId="0" fontId="17" fillId="16" borderId="0" xfId="0" applyFont="1" applyFill="1" applyBorder="1" applyAlignment="1">
      <alignment vertical="center"/>
    </xf>
    <xf numFmtId="0" fontId="17" fillId="16" borderId="0" xfId="0" applyFont="1" applyFill="1" applyBorder="1" applyAlignment="1">
      <alignment horizontal="right" vertical="center"/>
    </xf>
    <xf numFmtId="0" fontId="17" fillId="16" borderId="0" xfId="0" applyFont="1" applyFill="1" applyBorder="1"/>
    <xf numFmtId="0" fontId="18" fillId="16" borderId="0" xfId="0" applyFont="1" applyFill="1" applyBorder="1" applyAlignment="1">
      <alignment horizontal="center" vertical="center"/>
    </xf>
    <xf numFmtId="0" fontId="17" fillId="16" borderId="0" xfId="0" applyFont="1" applyFill="1" applyBorder="1" applyAlignment="1">
      <alignment horizontal="center" vertical="center"/>
    </xf>
    <xf numFmtId="194" fontId="17" fillId="16" borderId="0" xfId="0" applyNumberFormat="1" applyFont="1" applyFill="1" applyBorder="1"/>
    <xf numFmtId="195" fontId="17" fillId="16" borderId="0" xfId="0" applyNumberFormat="1" applyFont="1" applyFill="1" applyBorder="1"/>
    <xf numFmtId="0" fontId="17" fillId="16" borderId="0" xfId="0" applyFont="1" applyFill="1" applyBorder="1" applyAlignment="1">
      <alignment horizontal="right"/>
    </xf>
    <xf numFmtId="43" fontId="17" fillId="16" borderId="0" xfId="0" applyNumberFormat="1" applyFont="1" applyFill="1" applyBorder="1"/>
    <xf numFmtId="0" fontId="17" fillId="12" borderId="0" xfId="0" applyFont="1" applyFill="1"/>
    <xf numFmtId="0" fontId="18" fillId="12" borderId="46" xfId="0" applyFont="1" applyFill="1" applyBorder="1" applyAlignment="1">
      <alignment horizontal="center" vertical="center"/>
    </xf>
    <xf numFmtId="0" fontId="17" fillId="12" borderId="44" xfId="0" applyFont="1" applyFill="1" applyBorder="1" applyAlignment="1">
      <alignment horizontal="right" vertical="center"/>
    </xf>
    <xf numFmtId="0" fontId="0" fillId="0" borderId="44" xfId="0" applyBorder="1"/>
    <xf numFmtId="0" fontId="49" fillId="12" borderId="44" xfId="0" applyFont="1" applyFill="1" applyBorder="1"/>
    <xf numFmtId="0" fontId="17" fillId="12" borderId="46" xfId="0" applyFont="1" applyFill="1" applyBorder="1"/>
    <xf numFmtId="0" fontId="17" fillId="12" borderId="45" xfId="0" applyFont="1" applyFill="1" applyBorder="1"/>
    <xf numFmtId="0" fontId="18" fillId="12" borderId="50" xfId="0" applyFont="1" applyFill="1" applyBorder="1" applyAlignment="1">
      <alignment horizontal="left" vertical="center"/>
    </xf>
    <xf numFmtId="0" fontId="17" fillId="12" borderId="39" xfId="0" applyNumberFormat="1" applyFont="1" applyFill="1" applyBorder="1" applyAlignment="1">
      <alignment vertical="center"/>
    </xf>
    <xf numFmtId="2" fontId="17" fillId="12" borderId="0" xfId="0" applyNumberFormat="1" applyFont="1" applyFill="1" applyBorder="1"/>
    <xf numFmtId="0" fontId="17" fillId="17" borderId="51" xfId="0" applyFont="1" applyFill="1" applyBorder="1"/>
    <xf numFmtId="0" fontId="17" fillId="12" borderId="50" xfId="0" applyFont="1" applyFill="1" applyBorder="1" applyAlignment="1"/>
    <xf numFmtId="0" fontId="17" fillId="12" borderId="52" xfId="0" applyFont="1" applyFill="1" applyBorder="1" applyAlignment="1"/>
    <xf numFmtId="0" fontId="17" fillId="17" borderId="0" xfId="0" applyFont="1" applyFill="1" applyBorder="1"/>
    <xf numFmtId="0" fontId="17" fillId="17" borderId="2" xfId="0" applyFont="1" applyFill="1" applyBorder="1"/>
    <xf numFmtId="0" fontId="17" fillId="12" borderId="53" xfId="0" applyFont="1" applyFill="1" applyBorder="1"/>
    <xf numFmtId="0" fontId="17" fillId="12" borderId="54" xfId="0" applyFont="1" applyFill="1" applyBorder="1"/>
    <xf numFmtId="0" fontId="17" fillId="15" borderId="54" xfId="0" applyFont="1" applyFill="1" applyBorder="1"/>
    <xf numFmtId="0" fontId="17" fillId="15" borderId="55" xfId="0" applyFont="1" applyFill="1" applyBorder="1"/>
    <xf numFmtId="0" fontId="17" fillId="15" borderId="56" xfId="0" applyFont="1" applyFill="1" applyBorder="1"/>
    <xf numFmtId="0" fontId="17" fillId="12" borderId="55" xfId="0" applyFont="1" applyFill="1" applyBorder="1"/>
    <xf numFmtId="0" fontId="0" fillId="12" borderId="49" xfId="0" applyFill="1" applyBorder="1"/>
    <xf numFmtId="0" fontId="0" fillId="12" borderId="47" xfId="0" applyFill="1" applyBorder="1"/>
    <xf numFmtId="0" fontId="0" fillId="12" borderId="57" xfId="0" applyFill="1" applyBorder="1"/>
    <xf numFmtId="0" fontId="0" fillId="12" borderId="58" xfId="0" applyFill="1" applyBorder="1"/>
    <xf numFmtId="0" fontId="0" fillId="12" borderId="48" xfId="0" applyFill="1" applyBorder="1"/>
    <xf numFmtId="0" fontId="17" fillId="15" borderId="50" xfId="0" applyFont="1" applyFill="1" applyBorder="1"/>
    <xf numFmtId="0" fontId="17" fillId="15" borderId="52" xfId="0" applyFont="1" applyFill="1" applyBorder="1"/>
    <xf numFmtId="0" fontId="17" fillId="15" borderId="59" xfId="0" applyFont="1" applyFill="1" applyBorder="1"/>
    <xf numFmtId="178" fontId="17" fillId="12" borderId="39" xfId="0" applyNumberFormat="1" applyFont="1" applyFill="1" applyBorder="1" applyAlignment="1">
      <alignment vertical="center"/>
    </xf>
    <xf numFmtId="0" fontId="17" fillId="12" borderId="41" xfId="0" applyFont="1" applyFill="1" applyBorder="1" applyAlignment="1"/>
    <xf numFmtId="0" fontId="17" fillId="12" borderId="39" xfId="0" applyFont="1" applyFill="1" applyBorder="1" applyAlignment="1"/>
    <xf numFmtId="0" fontId="17" fillId="12" borderId="40" xfId="0" applyFont="1" applyFill="1" applyBorder="1" applyAlignment="1"/>
    <xf numFmtId="0" fontId="17" fillId="15" borderId="60" xfId="0" applyFont="1" applyFill="1" applyBorder="1" applyAlignment="1"/>
    <xf numFmtId="0" fontId="17" fillId="12" borderId="61" xfId="0" applyFont="1" applyFill="1" applyBorder="1" applyAlignment="1">
      <alignment vertical="center"/>
    </xf>
    <xf numFmtId="0" fontId="17" fillId="12" borderId="39" xfId="0" applyFont="1" applyFill="1" applyBorder="1" applyAlignment="1">
      <alignment horizontal="center"/>
    </xf>
    <xf numFmtId="0" fontId="17" fillId="12" borderId="40" xfId="0" applyFont="1" applyFill="1" applyBorder="1" applyAlignment="1">
      <alignment horizontal="center"/>
    </xf>
    <xf numFmtId="43" fontId="17" fillId="12" borderId="41" xfId="0" applyNumberFormat="1" applyFont="1" applyFill="1" applyBorder="1" applyAlignment="1">
      <alignment horizontal="center"/>
    </xf>
    <xf numFmtId="0" fontId="17" fillId="14" borderId="41" xfId="0" applyFont="1" applyFill="1" applyBorder="1" applyAlignment="1"/>
    <xf numFmtId="0" fontId="17" fillId="14" borderId="39" xfId="0" applyFont="1" applyFill="1" applyBorder="1" applyAlignment="1"/>
    <xf numFmtId="0" fontId="17" fillId="14" borderId="40" xfId="0" applyFont="1" applyFill="1" applyBorder="1" applyAlignment="1"/>
    <xf numFmtId="2" fontId="17" fillId="14" borderId="41" xfId="0" applyNumberFormat="1" applyFont="1" applyFill="1" applyBorder="1" applyAlignment="1"/>
    <xf numFmtId="2" fontId="17" fillId="14" borderId="39" xfId="0" applyNumberFormat="1" applyFont="1" applyFill="1" applyBorder="1" applyAlignment="1"/>
    <xf numFmtId="164" fontId="17" fillId="14" borderId="39" xfId="0" applyNumberFormat="1" applyFont="1" applyFill="1" applyBorder="1" applyAlignment="1"/>
    <xf numFmtId="164" fontId="17" fillId="14" borderId="40" xfId="0" applyNumberFormat="1" applyFont="1" applyFill="1" applyBorder="1" applyAlignment="1"/>
    <xf numFmtId="0" fontId="17" fillId="17" borderId="40" xfId="0" applyFont="1" applyFill="1" applyBorder="1"/>
    <xf numFmtId="0" fontId="17" fillId="17" borderId="41" xfId="0" applyFont="1" applyFill="1" applyBorder="1"/>
    <xf numFmtId="0" fontId="17" fillId="17" borderId="39" xfId="0" applyFont="1" applyFill="1" applyBorder="1"/>
    <xf numFmtId="0" fontId="17" fillId="15" borderId="62" xfId="0" applyFont="1" applyFill="1" applyBorder="1"/>
    <xf numFmtId="0" fontId="17" fillId="14" borderId="0" xfId="0" applyFont="1" applyFill="1" applyBorder="1"/>
    <xf numFmtId="0" fontId="17" fillId="14" borderId="2" xfId="0" applyFont="1" applyFill="1" applyBorder="1"/>
    <xf numFmtId="0" fontId="17" fillId="14" borderId="1" xfId="0" applyFont="1" applyFill="1" applyBorder="1"/>
    <xf numFmtId="0" fontId="17" fillId="12" borderId="61" xfId="0" applyFont="1" applyFill="1" applyBorder="1"/>
    <xf numFmtId="0" fontId="17" fillId="12" borderId="63" xfId="0" applyFont="1" applyFill="1" applyBorder="1"/>
    <xf numFmtId="0" fontId="17" fillId="12" borderId="64" xfId="0" applyFont="1" applyFill="1" applyBorder="1"/>
    <xf numFmtId="43" fontId="22" fillId="0" borderId="7" xfId="0" applyNumberFormat="1" applyFont="1" applyBorder="1"/>
    <xf numFmtId="0" fontId="22" fillId="0" borderId="1" xfId="0" applyFont="1" applyBorder="1" applyAlignment="1"/>
    <xf numFmtId="0" fontId="22" fillId="0" borderId="4" xfId="0" applyFont="1" applyBorder="1" applyAlignment="1"/>
    <xf numFmtId="0" fontId="23" fillId="0" borderId="0" xfId="0" applyNumberFormat="1" applyFont="1" applyFill="1" applyBorder="1" applyAlignment="1"/>
    <xf numFmtId="0" fontId="23" fillId="0" borderId="15" xfId="0" applyNumberFormat="1" applyFont="1" applyFill="1" applyBorder="1" applyAlignment="1"/>
    <xf numFmtId="164" fontId="22" fillId="0" borderId="12" xfId="0" applyNumberFormat="1" applyFont="1" applyBorder="1" applyAlignment="1"/>
    <xf numFmtId="3" fontId="22" fillId="0" borderId="0" xfId="0" applyNumberFormat="1" applyFont="1" applyBorder="1" applyAlignment="1"/>
    <xf numFmtId="0" fontId="2" fillId="0" borderId="11" xfId="0" applyFont="1" applyFill="1" applyBorder="1" applyAlignment="1">
      <alignment horizontal="center"/>
    </xf>
    <xf numFmtId="0" fontId="0" fillId="0" borderId="10" xfId="0" applyBorder="1"/>
    <xf numFmtId="2" fontId="0" fillId="0" borderId="12" xfId="0" applyNumberFormat="1" applyBorder="1"/>
    <xf numFmtId="178" fontId="3" fillId="0" borderId="0" xfId="0" applyNumberFormat="1" applyFont="1" applyFill="1" applyBorder="1" applyAlignment="1"/>
    <xf numFmtId="0" fontId="3" fillId="0" borderId="11" xfId="0" applyNumberFormat="1" applyFont="1" applyFill="1" applyBorder="1" applyAlignment="1"/>
    <xf numFmtId="43" fontId="23" fillId="0" borderId="13" xfId="2" applyFont="1" applyBorder="1"/>
    <xf numFmtId="2" fontId="3" fillId="0" borderId="0" xfId="0" applyNumberFormat="1" applyFont="1" applyBorder="1" applyAlignment="1">
      <alignment vertical="center" wrapText="1"/>
    </xf>
    <xf numFmtId="4" fontId="8" fillId="0" borderId="0" xfId="0" applyNumberFormat="1" applyFont="1" applyFill="1" applyBorder="1" applyAlignment="1">
      <alignment vertical="center"/>
    </xf>
    <xf numFmtId="196" fontId="8" fillId="0" borderId="0" xfId="0" applyNumberFormat="1" applyFont="1" applyFill="1" applyBorder="1" applyAlignment="1">
      <alignment vertical="center"/>
    </xf>
    <xf numFmtId="4" fontId="2" fillId="11" borderId="7" xfId="0" applyNumberFormat="1" applyFont="1" applyFill="1" applyBorder="1" applyAlignment="1">
      <alignment vertical="center" wrapText="1"/>
    </xf>
    <xf numFmtId="197" fontId="3" fillId="0" borderId="0" xfId="0" applyNumberFormat="1" applyFont="1" applyBorder="1" applyAlignment="1">
      <alignment vertical="center" wrapText="1"/>
    </xf>
    <xf numFmtId="164" fontId="22" fillId="0" borderId="1" xfId="0" applyNumberFormat="1" applyFont="1" applyBorder="1"/>
    <xf numFmtId="43" fontId="22" fillId="0" borderId="3" xfId="2" applyNumberFormat="1" applyFont="1" applyBorder="1"/>
    <xf numFmtId="43" fontId="22" fillId="0" borderId="1" xfId="0" applyNumberFormat="1" applyFont="1" applyBorder="1"/>
    <xf numFmtId="167" fontId="0" fillId="0" borderId="0" xfId="0" applyNumberFormat="1" applyBorder="1"/>
    <xf numFmtId="0" fontId="23" fillId="0" borderId="15" xfId="0" applyFont="1" applyBorder="1" applyAlignment="1">
      <alignment horizontal="right"/>
    </xf>
    <xf numFmtId="43" fontId="23" fillId="0" borderId="15" xfId="0" applyNumberFormat="1" applyFont="1" applyBorder="1"/>
    <xf numFmtId="0" fontId="23" fillId="0" borderId="15" xfId="0" applyFont="1" applyBorder="1" applyAlignment="1">
      <alignment horizontal="center"/>
    </xf>
    <xf numFmtId="178" fontId="22" fillId="0" borderId="15" xfId="0" applyNumberFormat="1" applyFont="1" applyFill="1" applyBorder="1" applyAlignment="1"/>
    <xf numFmtId="183" fontId="22" fillId="0" borderId="0" xfId="0" applyNumberFormat="1" applyFont="1" applyFill="1" applyBorder="1"/>
    <xf numFmtId="184" fontId="22" fillId="0" borderId="0" xfId="0" applyNumberFormat="1" applyFont="1" applyFill="1" applyBorder="1" applyAlignment="1">
      <alignment horizontal="center"/>
    </xf>
    <xf numFmtId="0" fontId="52" fillId="0" borderId="0" xfId="0" applyFont="1" applyFill="1" applyBorder="1" applyAlignment="1">
      <alignment horizontal="center"/>
    </xf>
    <xf numFmtId="167" fontId="52" fillId="0" borderId="0" xfId="0" applyNumberFormat="1" applyFont="1" applyFill="1" applyBorder="1" applyAlignment="1">
      <alignment horizontal="center"/>
    </xf>
    <xf numFmtId="4" fontId="2" fillId="0" borderId="1" xfId="0" applyNumberFormat="1" applyFont="1" applyBorder="1" applyAlignment="1">
      <alignment vertical="center" wrapText="1"/>
    </xf>
    <xf numFmtId="198" fontId="0" fillId="0" borderId="0" xfId="0" applyNumberFormat="1"/>
    <xf numFmtId="4" fontId="2" fillId="10" borderId="7" xfId="0" applyNumberFormat="1" applyFont="1" applyFill="1" applyBorder="1" applyAlignment="1">
      <alignment vertical="center" wrapText="1"/>
    </xf>
    <xf numFmtId="4" fontId="2" fillId="0" borderId="14" xfId="0" applyNumberFormat="1" applyFont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55" fillId="13" borderId="0" xfId="0" applyFont="1" applyFill="1" applyBorder="1" applyAlignment="1">
      <alignment horizontal="center" vertical="center"/>
    </xf>
    <xf numFmtId="167" fontId="52" fillId="13" borderId="0" xfId="0" applyNumberFormat="1" applyFont="1" applyFill="1" applyBorder="1" applyAlignment="1">
      <alignment horizontal="center"/>
    </xf>
    <xf numFmtId="167" fontId="52" fillId="13" borderId="2" xfId="0" applyNumberFormat="1" applyFont="1" applyFill="1" applyBorder="1" applyAlignment="1">
      <alignment horizontal="center"/>
    </xf>
    <xf numFmtId="177" fontId="3" fillId="0" borderId="10" xfId="0" applyNumberFormat="1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3" fillId="13" borderId="0" xfId="0" applyFont="1" applyFill="1" applyAlignment="1">
      <alignment horizontal="center"/>
    </xf>
    <xf numFmtId="0" fontId="23" fillId="13" borderId="0" xfId="0" applyFont="1" applyFill="1" applyAlignment="1">
      <alignment horizontal="center"/>
    </xf>
    <xf numFmtId="177" fontId="23" fillId="0" borderId="10" xfId="0" applyNumberFormat="1" applyFont="1" applyFill="1" applyBorder="1" applyAlignment="1">
      <alignment horizontal="left"/>
    </xf>
    <xf numFmtId="0" fontId="23" fillId="0" borderId="11" xfId="0" applyFont="1" applyFill="1" applyBorder="1" applyAlignment="1">
      <alignment horizontal="left"/>
    </xf>
    <xf numFmtId="0" fontId="23" fillId="0" borderId="12" xfId="0" applyFont="1" applyFill="1" applyBorder="1" applyAlignment="1">
      <alignment horizontal="left"/>
    </xf>
    <xf numFmtId="0" fontId="52" fillId="13" borderId="1" xfId="0" applyFont="1" applyFill="1" applyBorder="1" applyAlignment="1">
      <alignment horizontal="center"/>
    </xf>
    <xf numFmtId="0" fontId="52" fillId="13" borderId="0" xfId="0" applyFont="1" applyFill="1" applyBorder="1" applyAlignment="1">
      <alignment horizontal="center"/>
    </xf>
    <xf numFmtId="167" fontId="52" fillId="13" borderId="1" xfId="0" applyNumberFormat="1" applyFont="1" applyFill="1" applyBorder="1" applyAlignment="1">
      <alignment horizontal="center"/>
    </xf>
    <xf numFmtId="167" fontId="55" fillId="13" borderId="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184" fontId="22" fillId="0" borderId="10" xfId="0" applyNumberFormat="1" applyFont="1" applyFill="1" applyBorder="1" applyAlignment="1">
      <alignment horizontal="center"/>
    </xf>
    <xf numFmtId="184" fontId="22" fillId="0" borderId="12" xfId="0" applyNumberFormat="1" applyFont="1" applyFill="1" applyBorder="1" applyAlignment="1">
      <alignment horizontal="center"/>
    </xf>
    <xf numFmtId="177" fontId="22" fillId="0" borderId="10" xfId="0" applyNumberFormat="1" applyFont="1" applyBorder="1" applyAlignment="1">
      <alignment horizontal="left"/>
    </xf>
    <xf numFmtId="177" fontId="22" fillId="0" borderId="11" xfId="0" applyNumberFormat="1" applyFont="1" applyBorder="1" applyAlignment="1">
      <alignment horizontal="left"/>
    </xf>
    <xf numFmtId="177" fontId="53" fillId="13" borderId="0" xfId="0" applyNumberFormat="1" applyFont="1" applyFill="1" applyBorder="1" applyAlignment="1">
      <alignment horizontal="center"/>
    </xf>
    <xf numFmtId="0" fontId="53" fillId="13" borderId="0" xfId="0" applyFont="1" applyFill="1" applyBorder="1" applyAlignment="1">
      <alignment horizontal="center"/>
    </xf>
    <xf numFmtId="3" fontId="2" fillId="7" borderId="10" xfId="0" applyNumberFormat="1" applyFont="1" applyFill="1" applyBorder="1" applyAlignment="1">
      <alignment horizontal="center" vertical="center"/>
    </xf>
    <xf numFmtId="3" fontId="2" fillId="7" borderId="12" xfId="0" applyNumberFormat="1" applyFont="1" applyFill="1" applyBorder="1" applyAlignment="1">
      <alignment horizontal="center" vertical="center"/>
    </xf>
    <xf numFmtId="3" fontId="8" fillId="8" borderId="13" xfId="0" applyNumberFormat="1" applyFont="1" applyFill="1" applyBorder="1" applyAlignment="1">
      <alignment horizontal="center" vertical="center"/>
    </xf>
    <xf numFmtId="0" fontId="33" fillId="13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justify" wrapText="1"/>
    </xf>
    <xf numFmtId="0" fontId="33" fillId="13" borderId="1" xfId="0" applyFont="1" applyFill="1" applyBorder="1" applyAlignment="1">
      <alignment horizontal="center"/>
    </xf>
    <xf numFmtId="0" fontId="33" fillId="13" borderId="2" xfId="0" applyFont="1" applyFill="1" applyBorder="1" applyAlignment="1">
      <alignment horizontal="center"/>
    </xf>
    <xf numFmtId="177" fontId="3" fillId="0" borderId="11" xfId="0" applyNumberFormat="1" applyFont="1" applyFill="1" applyBorder="1" applyAlignment="1">
      <alignment horizontal="left"/>
    </xf>
    <xf numFmtId="8" fontId="22" fillId="0" borderId="6" xfId="0" applyNumberFormat="1" applyFont="1" applyBorder="1" applyAlignment="1">
      <alignment horizontal="center"/>
    </xf>
    <xf numFmtId="8" fontId="22" fillId="0" borderId="8" xfId="0" applyNumberFormat="1" applyFont="1" applyBorder="1" applyAlignment="1">
      <alignment horizontal="center"/>
    </xf>
    <xf numFmtId="0" fontId="22" fillId="0" borderId="0" xfId="0" applyFont="1" applyAlignment="1">
      <alignment horizontal="left" vertical="justify" wrapText="1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12" fillId="8" borderId="10" xfId="0" applyFont="1" applyFill="1" applyBorder="1" applyAlignment="1">
      <alignment horizontal="center" vertical="center"/>
    </xf>
    <xf numFmtId="0" fontId="12" fillId="8" borderId="11" xfId="0" applyFont="1" applyFill="1" applyBorder="1" applyAlignment="1">
      <alignment horizontal="center" vertical="center"/>
    </xf>
    <xf numFmtId="0" fontId="12" fillId="8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8" fontId="22" fillId="0" borderId="1" xfId="0" applyNumberFormat="1" applyFont="1" applyBorder="1" applyAlignment="1">
      <alignment horizontal="center"/>
    </xf>
    <xf numFmtId="8" fontId="22" fillId="0" borderId="2" xfId="0" applyNumberFormat="1" applyFont="1" applyBorder="1" applyAlignment="1">
      <alignment horizontal="center"/>
    </xf>
    <xf numFmtId="8" fontId="22" fillId="0" borderId="3" xfId="0" applyNumberFormat="1" applyFont="1" applyBorder="1" applyAlignment="1">
      <alignment horizontal="center"/>
    </xf>
    <xf numFmtId="8" fontId="22" fillId="0" borderId="9" xfId="0" applyNumberFormat="1" applyFont="1" applyBorder="1" applyAlignment="1">
      <alignment horizontal="center"/>
    </xf>
    <xf numFmtId="0" fontId="8" fillId="6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/>
    </xf>
    <xf numFmtId="3" fontId="2" fillId="7" borderId="13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/>
    </xf>
    <xf numFmtId="0" fontId="22" fillId="0" borderId="0" xfId="0" applyFont="1" applyBorder="1" applyAlignment="1">
      <alignment horizontal="left" indent="1"/>
    </xf>
    <xf numFmtId="166" fontId="22" fillId="0" borderId="0" xfId="0" applyNumberFormat="1" applyFont="1" applyBorder="1" applyAlignment="1">
      <alignment horizontal="left" indent="1"/>
    </xf>
    <xf numFmtId="178" fontId="23" fillId="2" borderId="10" xfId="0" applyNumberFormat="1" applyFont="1" applyFill="1" applyBorder="1" applyAlignment="1">
      <alignment horizontal="center"/>
    </xf>
    <xf numFmtId="178" fontId="23" fillId="2" borderId="11" xfId="0" applyNumberFormat="1" applyFont="1" applyFill="1" applyBorder="1" applyAlignment="1">
      <alignment horizontal="center"/>
    </xf>
    <xf numFmtId="178" fontId="23" fillId="2" borderId="12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left"/>
    </xf>
    <xf numFmtId="180" fontId="33" fillId="13" borderId="0" xfId="0" applyNumberFormat="1" applyFont="1" applyFill="1" applyBorder="1" applyAlignment="1">
      <alignment horizontal="center"/>
    </xf>
    <xf numFmtId="178" fontId="3" fillId="2" borderId="10" xfId="0" applyNumberFormat="1" applyFont="1" applyFill="1" applyBorder="1" applyAlignment="1">
      <alignment horizontal="center"/>
    </xf>
    <xf numFmtId="178" fontId="3" fillId="2" borderId="11" xfId="0" applyNumberFormat="1" applyFont="1" applyFill="1" applyBorder="1" applyAlignment="1">
      <alignment horizontal="center"/>
    </xf>
    <xf numFmtId="178" fontId="3" fillId="2" borderId="12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left" vertical="justify"/>
    </xf>
    <xf numFmtId="0" fontId="22" fillId="0" borderId="0" xfId="0" applyFont="1" applyAlignment="1">
      <alignment horizontal="left" vertical="justify" indent="2"/>
    </xf>
    <xf numFmtId="0" fontId="22" fillId="0" borderId="0" xfId="0" applyFont="1" applyAlignment="1">
      <alignment horizontal="left" vertical="justify"/>
    </xf>
    <xf numFmtId="8" fontId="22" fillId="0" borderId="14" xfId="0" applyNumberFormat="1" applyFont="1" applyBorder="1" applyAlignment="1">
      <alignment horizontal="center"/>
    </xf>
    <xf numFmtId="8" fontId="22" fillId="0" borderId="10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8" fontId="22" fillId="0" borderId="0" xfId="0" applyNumberFormat="1" applyFont="1" applyBorder="1" applyAlignment="1">
      <alignment horizontal="center"/>
    </xf>
    <xf numFmtId="185" fontId="33" fillId="13" borderId="0" xfId="0" applyNumberFormat="1" applyFont="1" applyFill="1" applyAlignment="1">
      <alignment horizontal="center"/>
    </xf>
    <xf numFmtId="0" fontId="22" fillId="0" borderId="0" xfId="0" applyFont="1" applyFill="1" applyBorder="1" applyAlignment="1">
      <alignment horizontal="left" vertical="justify" wrapText="1"/>
    </xf>
    <xf numFmtId="189" fontId="33" fillId="13" borderId="0" xfId="0" applyNumberFormat="1" applyFont="1" applyFill="1" applyBorder="1" applyAlignment="1">
      <alignment horizontal="center"/>
    </xf>
    <xf numFmtId="0" fontId="22" fillId="0" borderId="14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52" fillId="13" borderId="0" xfId="0" applyFont="1" applyFill="1" applyAlignment="1">
      <alignment horizontal="center"/>
    </xf>
    <xf numFmtId="0" fontId="54" fillId="13" borderId="0" xfId="0" applyFont="1" applyFill="1" applyAlignment="1">
      <alignment horizontal="center"/>
    </xf>
    <xf numFmtId="175" fontId="22" fillId="0" borderId="11" xfId="0" applyNumberFormat="1" applyFont="1" applyBorder="1" applyAlignment="1">
      <alignment horizontal="right"/>
    </xf>
    <xf numFmtId="186" fontId="33" fillId="13" borderId="0" xfId="0" applyNumberFormat="1" applyFont="1" applyFill="1" applyBorder="1" applyAlignment="1">
      <alignment horizontal="center"/>
    </xf>
    <xf numFmtId="10" fontId="22" fillId="0" borderId="10" xfId="0" applyNumberFormat="1" applyFont="1" applyFill="1" applyBorder="1" applyAlignment="1">
      <alignment horizontal="right"/>
    </xf>
    <xf numFmtId="10" fontId="22" fillId="0" borderId="12" xfId="0" applyNumberFormat="1" applyFont="1" applyFill="1" applyBorder="1" applyAlignment="1">
      <alignment horizontal="right"/>
    </xf>
    <xf numFmtId="174" fontId="22" fillId="0" borderId="11" xfId="0" applyNumberFormat="1" applyFont="1" applyBorder="1" applyAlignment="1">
      <alignment horizontal="left" indent="1"/>
    </xf>
    <xf numFmtId="178" fontId="23" fillId="0" borderId="1" xfId="0" applyNumberFormat="1" applyFont="1" applyFill="1" applyBorder="1" applyAlignment="1">
      <alignment horizontal="left"/>
    </xf>
    <xf numFmtId="0" fontId="23" fillId="0" borderId="14" xfId="0" applyNumberFormat="1" applyFont="1" applyFill="1" applyBorder="1" applyAlignment="1">
      <alignment horizontal="left"/>
    </xf>
    <xf numFmtId="167" fontId="22" fillId="0" borderId="0" xfId="0" applyNumberFormat="1" applyFont="1" applyBorder="1" applyAlignment="1">
      <alignment horizontal="center"/>
    </xf>
    <xf numFmtId="178" fontId="23" fillId="0" borderId="6" xfId="0" applyNumberFormat="1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2" fillId="0" borderId="10" xfId="0" applyFont="1" applyFill="1" applyBorder="1" applyAlignment="1">
      <alignment horizontal="right"/>
    </xf>
    <xf numFmtId="0" fontId="22" fillId="0" borderId="12" xfId="0" applyFont="1" applyFill="1" applyBorder="1" applyAlignment="1">
      <alignment horizontal="right"/>
    </xf>
    <xf numFmtId="178" fontId="23" fillId="0" borderId="14" xfId="0" applyNumberFormat="1" applyFont="1" applyBorder="1" applyAlignment="1">
      <alignment horizontal="left"/>
    </xf>
    <xf numFmtId="178" fontId="23" fillId="0" borderId="6" xfId="0" applyNumberFormat="1" applyFont="1" applyFill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9" fontId="22" fillId="0" borderId="10" xfId="0" applyNumberFormat="1" applyFont="1" applyFill="1" applyBorder="1" applyAlignment="1">
      <alignment horizontal="right"/>
    </xf>
    <xf numFmtId="9" fontId="22" fillId="0" borderId="12" xfId="0" applyNumberFormat="1" applyFont="1" applyFill="1" applyBorder="1" applyAlignment="1">
      <alignment horizontal="right"/>
    </xf>
    <xf numFmtId="0" fontId="22" fillId="0" borderId="10" xfId="0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170" fontId="22" fillId="0" borderId="10" xfId="0" applyNumberFormat="1" applyFont="1" applyFill="1" applyBorder="1" applyAlignment="1">
      <alignment horizontal="right"/>
    </xf>
    <xf numFmtId="170" fontId="22" fillId="0" borderId="12" xfId="0" applyNumberFormat="1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182" fontId="0" fillId="0" borderId="13" xfId="0" applyNumberForma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56" fillId="5" borderId="0" xfId="0" applyFont="1" applyFill="1" applyAlignment="1">
      <alignment horizontal="left" vertical="center" wrapText="1"/>
    </xf>
    <xf numFmtId="0" fontId="48" fillId="9" borderId="0" xfId="0" applyFont="1" applyFill="1" applyAlignment="1">
      <alignment horizontal="center" vertical="top" wrapText="1"/>
    </xf>
    <xf numFmtId="0" fontId="48" fillId="9" borderId="0" xfId="0" applyFont="1" applyFill="1" applyAlignment="1">
      <alignment horizontal="center" vertical="center" wrapText="1"/>
    </xf>
    <xf numFmtId="0" fontId="57" fillId="13" borderId="0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left" vertical="center" wrapText="1"/>
    </xf>
    <xf numFmtId="0" fontId="0" fillId="10" borderId="13" xfId="0" applyFill="1" applyBorder="1" applyAlignment="1">
      <alignment horizontal="center" vertical="center" wrapText="1"/>
    </xf>
    <xf numFmtId="4" fontId="2" fillId="10" borderId="10" xfId="0" applyNumberFormat="1" applyFont="1" applyFill="1" applyBorder="1" applyAlignment="1">
      <alignment horizontal="center" vertical="center"/>
    </xf>
    <xf numFmtId="4" fontId="2" fillId="10" borderId="11" xfId="0" applyNumberFormat="1" applyFont="1" applyFill="1" applyBorder="1" applyAlignment="1">
      <alignment horizontal="center" vertical="center"/>
    </xf>
    <xf numFmtId="3" fontId="2" fillId="10" borderId="13" xfId="0" applyNumberFormat="1" applyFont="1" applyFill="1" applyBorder="1" applyAlignment="1">
      <alignment horizontal="center" vertical="center"/>
    </xf>
    <xf numFmtId="3" fontId="23" fillId="8" borderId="6" xfId="0" applyNumberFormat="1" applyFont="1" applyFill="1" applyBorder="1" applyAlignment="1">
      <alignment horizontal="left" vertical="center"/>
    </xf>
    <xf numFmtId="3" fontId="23" fillId="8" borderId="14" xfId="0" applyNumberFormat="1" applyFont="1" applyFill="1" applyBorder="1" applyAlignment="1">
      <alignment horizontal="left" vertical="center"/>
    </xf>
    <xf numFmtId="3" fontId="23" fillId="8" borderId="8" xfId="0" applyNumberFormat="1" applyFont="1" applyFill="1" applyBorder="1" applyAlignment="1">
      <alignment horizontal="left" vertical="center"/>
    </xf>
    <xf numFmtId="3" fontId="23" fillId="8" borderId="14" xfId="0" applyNumberFormat="1" applyFont="1" applyFill="1" applyBorder="1" applyAlignment="1">
      <alignment horizontal="center" vertical="center"/>
    </xf>
    <xf numFmtId="3" fontId="23" fillId="8" borderId="8" xfId="0" applyNumberFormat="1" applyFont="1" applyFill="1" applyBorder="1" applyAlignment="1">
      <alignment horizontal="center" vertical="center"/>
    </xf>
    <xf numFmtId="43" fontId="17" fillId="12" borderId="41" xfId="0" applyNumberFormat="1" applyFont="1" applyFill="1" applyBorder="1" applyAlignment="1">
      <alignment horizontal="center"/>
    </xf>
    <xf numFmtId="0" fontId="17" fillId="12" borderId="39" xfId="0" applyFont="1" applyFill="1" applyBorder="1" applyAlignment="1">
      <alignment horizontal="center"/>
    </xf>
    <xf numFmtId="0" fontId="17" fillId="12" borderId="40" xfId="0" applyFont="1" applyFill="1" applyBorder="1" applyAlignment="1">
      <alignment horizontal="center"/>
    </xf>
    <xf numFmtId="193" fontId="17" fillId="12" borderId="61" xfId="0" applyNumberFormat="1" applyFont="1" applyFill="1" applyBorder="1" applyAlignment="1">
      <alignment horizontal="left" vertical="center"/>
    </xf>
    <xf numFmtId="164" fontId="17" fillId="12" borderId="39" xfId="0" applyNumberFormat="1" applyFont="1" applyFill="1" applyBorder="1" applyAlignment="1">
      <alignment horizontal="center"/>
    </xf>
    <xf numFmtId="164" fontId="17" fillId="12" borderId="40" xfId="0" applyNumberFormat="1" applyFont="1" applyFill="1" applyBorder="1" applyAlignment="1">
      <alignment horizontal="center"/>
    </xf>
    <xf numFmtId="2" fontId="17" fillId="12" borderId="41" xfId="0" applyNumberFormat="1" applyFont="1" applyFill="1" applyBorder="1" applyAlignment="1">
      <alignment horizontal="center"/>
    </xf>
    <xf numFmtId="2" fontId="17" fillId="12" borderId="39" xfId="0" applyNumberFormat="1" applyFont="1" applyFill="1" applyBorder="1" applyAlignment="1">
      <alignment horizontal="center"/>
    </xf>
    <xf numFmtId="0" fontId="17" fillId="12" borderId="41" xfId="0" applyFont="1" applyFill="1" applyBorder="1" applyAlignment="1">
      <alignment horizontal="center"/>
    </xf>
    <xf numFmtId="164" fontId="17" fillId="12" borderId="41" xfId="0" applyNumberFormat="1" applyFont="1" applyFill="1" applyBorder="1" applyAlignment="1">
      <alignment horizontal="center"/>
    </xf>
    <xf numFmtId="43" fontId="58" fillId="12" borderId="41" xfId="0" applyNumberFormat="1" applyFont="1" applyFill="1" applyBorder="1" applyAlignment="1">
      <alignment horizontal="center"/>
    </xf>
    <xf numFmtId="0" fontId="58" fillId="12" borderId="39" xfId="0" applyFont="1" applyFill="1" applyBorder="1" applyAlignment="1">
      <alignment horizontal="center"/>
    </xf>
    <xf numFmtId="0" fontId="58" fillId="12" borderId="40" xfId="0" applyFont="1" applyFill="1" applyBorder="1" applyAlignment="1">
      <alignment horizontal="center"/>
    </xf>
    <xf numFmtId="2" fontId="17" fillId="12" borderId="65" xfId="0" applyNumberFormat="1" applyFont="1" applyFill="1" applyBorder="1" applyAlignment="1">
      <alignment horizontal="center"/>
    </xf>
    <xf numFmtId="2" fontId="17" fillId="12" borderId="50" xfId="0" applyNumberFormat="1" applyFont="1" applyFill="1" applyBorder="1" applyAlignment="1">
      <alignment horizontal="center"/>
    </xf>
    <xf numFmtId="164" fontId="17" fillId="12" borderId="50" xfId="0" applyNumberFormat="1" applyFont="1" applyFill="1" applyBorder="1" applyAlignment="1">
      <alignment horizontal="center"/>
    </xf>
    <xf numFmtId="164" fontId="17" fillId="12" borderId="52" xfId="0" applyNumberFormat="1" applyFont="1" applyFill="1" applyBorder="1" applyAlignment="1">
      <alignment horizontal="center"/>
    </xf>
    <xf numFmtId="43" fontId="17" fillId="12" borderId="39" xfId="0" applyNumberFormat="1" applyFont="1" applyFill="1" applyBorder="1" applyAlignment="1">
      <alignment horizontal="center"/>
    </xf>
    <xf numFmtId="43" fontId="17" fillId="12" borderId="40" xfId="0" applyNumberFormat="1" applyFont="1" applyFill="1" applyBorder="1" applyAlignment="1">
      <alignment horizontal="center"/>
    </xf>
    <xf numFmtId="43" fontId="17" fillId="12" borderId="63" xfId="0" applyNumberFormat="1" applyFont="1" applyFill="1" applyBorder="1" applyAlignment="1">
      <alignment horizontal="center"/>
    </xf>
    <xf numFmtId="43" fontId="17" fillId="12" borderId="61" xfId="0" applyNumberFormat="1" applyFont="1" applyFill="1" applyBorder="1" applyAlignment="1">
      <alignment horizontal="center"/>
    </xf>
    <xf numFmtId="43" fontId="17" fillId="12" borderId="64" xfId="0" applyNumberFormat="1" applyFont="1" applyFill="1" applyBorder="1" applyAlignment="1">
      <alignment horizontal="center"/>
    </xf>
    <xf numFmtId="0" fontId="17" fillId="12" borderId="39" xfId="0" applyNumberFormat="1" applyFont="1" applyFill="1" applyBorder="1" applyAlignment="1">
      <alignment horizontal="center"/>
    </xf>
    <xf numFmtId="0" fontId="50" fillId="13" borderId="6" xfId="0" applyFont="1" applyFill="1" applyBorder="1" applyAlignment="1">
      <alignment horizontal="center"/>
    </xf>
    <xf numFmtId="0" fontId="50" fillId="13" borderId="14" xfId="0" applyFont="1" applyFill="1" applyBorder="1" applyAlignment="1">
      <alignment horizontal="center"/>
    </xf>
    <xf numFmtId="0" fontId="50" fillId="13" borderId="8" xfId="0" applyFont="1" applyFill="1" applyBorder="1" applyAlignment="1">
      <alignment horizontal="center"/>
    </xf>
    <xf numFmtId="0" fontId="18" fillId="12" borderId="44" xfId="0" applyFont="1" applyFill="1" applyBorder="1" applyAlignment="1">
      <alignment horizontal="left" vertical="center"/>
    </xf>
    <xf numFmtId="0" fontId="17" fillId="12" borderId="65" xfId="0" applyFont="1" applyFill="1" applyBorder="1" applyAlignment="1">
      <alignment horizontal="center"/>
    </xf>
    <xf numFmtId="0" fontId="17" fillId="12" borderId="50" xfId="0" applyFont="1" applyFill="1" applyBorder="1" applyAlignment="1">
      <alignment horizontal="center"/>
    </xf>
    <xf numFmtId="0" fontId="17" fillId="12" borderId="52" xfId="0" applyFont="1" applyFill="1" applyBorder="1" applyAlignment="1">
      <alignment horizontal="center"/>
    </xf>
    <xf numFmtId="10" fontId="17" fillId="16" borderId="0" xfId="1" applyNumberFormat="1" applyFont="1" applyFill="1" applyBorder="1" applyAlignment="1">
      <alignment horizontal="right"/>
    </xf>
    <xf numFmtId="0" fontId="51" fillId="12" borderId="0" xfId="0" applyFont="1" applyFill="1" applyAlignment="1">
      <alignment horizontal="left"/>
    </xf>
    <xf numFmtId="0" fontId="50" fillId="13" borderId="1" xfId="0" applyFont="1" applyFill="1" applyBorder="1" applyAlignment="1">
      <alignment horizontal="center"/>
    </xf>
    <xf numFmtId="0" fontId="50" fillId="13" borderId="0" xfId="0" applyFont="1" applyFill="1" applyBorder="1" applyAlignment="1">
      <alignment horizontal="center"/>
    </xf>
    <xf numFmtId="43" fontId="17" fillId="16" borderId="0" xfId="0" applyNumberFormat="1" applyFont="1" applyFill="1" applyBorder="1" applyAlignment="1">
      <alignment horizontal="right"/>
    </xf>
    <xf numFmtId="0" fontId="49" fillId="16" borderId="0" xfId="0" applyFont="1" applyFill="1" applyBorder="1" applyAlignment="1">
      <alignment horizontal="center"/>
    </xf>
    <xf numFmtId="0" fontId="17" fillId="16" borderId="61" xfId="0" applyFont="1" applyFill="1" applyBorder="1" applyAlignment="1">
      <alignment horizontal="left" vertical="center"/>
    </xf>
    <xf numFmtId="10" fontId="17" fillId="16" borderId="0" xfId="0" applyNumberFormat="1" applyFont="1" applyFill="1" applyBorder="1" applyAlignment="1">
      <alignment horizontal="right"/>
    </xf>
    <xf numFmtId="43" fontId="17" fillId="16" borderId="0" xfId="0" applyNumberFormat="1" applyFont="1" applyFill="1" applyBorder="1" applyAlignment="1">
      <alignment horizontal="center"/>
    </xf>
    <xf numFmtId="41" fontId="17" fillId="16" borderId="0" xfId="0" applyNumberFormat="1" applyFont="1" applyFill="1" applyBorder="1" applyAlignment="1">
      <alignment horizontal="right"/>
    </xf>
    <xf numFmtId="41" fontId="17" fillId="16" borderId="0" xfId="0" applyNumberFormat="1" applyFont="1" applyFill="1" applyBorder="1" applyAlignment="1">
      <alignment horizontal="center"/>
    </xf>
    <xf numFmtId="43" fontId="51" fillId="12" borderId="19" xfId="2" applyFont="1" applyFill="1" applyBorder="1" applyAlignment="1">
      <alignment horizontal="center"/>
    </xf>
    <xf numFmtId="43" fontId="51" fillId="12" borderId="20" xfId="2" applyFont="1" applyFill="1" applyBorder="1" applyAlignment="1">
      <alignment horizontal="center"/>
    </xf>
    <xf numFmtId="192" fontId="49" fillId="12" borderId="20" xfId="0" applyNumberFormat="1" applyFont="1" applyFill="1" applyBorder="1" applyAlignment="1">
      <alignment horizontal="center"/>
    </xf>
    <xf numFmtId="0" fontId="49" fillId="12" borderId="20" xfId="0" applyFont="1" applyFill="1" applyBorder="1" applyAlignment="1">
      <alignment horizontal="center"/>
    </xf>
    <xf numFmtId="0" fontId="18" fillId="16" borderId="50" xfId="0" applyFont="1" applyFill="1" applyBorder="1" applyAlignment="1">
      <alignment horizontal="left" vertical="center"/>
    </xf>
    <xf numFmtId="0" fontId="17" fillId="12" borderId="39" xfId="0" applyFont="1" applyFill="1" applyBorder="1" applyAlignment="1">
      <alignment horizontal="left" vertical="center"/>
    </xf>
    <xf numFmtId="193" fontId="17" fillId="12" borderId="39" xfId="0" applyNumberFormat="1" applyFont="1" applyFill="1" applyBorder="1" applyAlignment="1">
      <alignment horizontal="left" vertical="center"/>
    </xf>
    <xf numFmtId="0" fontId="18" fillId="12" borderId="42" xfId="0" applyFont="1" applyFill="1" applyBorder="1" applyAlignment="1">
      <alignment horizontal="left" vertical="center"/>
    </xf>
    <xf numFmtId="0" fontId="17" fillId="12" borderId="61" xfId="0" applyFont="1" applyFill="1" applyBorder="1" applyAlignment="1">
      <alignment horizontal="left" vertical="center"/>
    </xf>
  </cellXfs>
  <cellStyles count="3">
    <cellStyle name="Normal" xfId="0" builtinId="0"/>
    <cellStyle name="Porcentagem" xfId="1" builtinId="5"/>
    <cellStyle name="Separador de milhares" xfId="2" builtinId="3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289</xdr:row>
      <xdr:rowOff>104775</xdr:rowOff>
    </xdr:from>
    <xdr:to>
      <xdr:col>8</xdr:col>
      <xdr:colOff>19050</xdr:colOff>
      <xdr:row>308</xdr:row>
      <xdr:rowOff>114300</xdr:rowOff>
    </xdr:to>
    <xdr:pic>
      <xdr:nvPicPr>
        <xdr:cNvPr id="106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57940575"/>
          <a:ext cx="5838825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1197</xdr:row>
      <xdr:rowOff>0</xdr:rowOff>
    </xdr:from>
    <xdr:to>
      <xdr:col>7</xdr:col>
      <xdr:colOff>247650</xdr:colOff>
      <xdr:row>1199</xdr:row>
      <xdr:rowOff>0</xdr:rowOff>
    </xdr:to>
    <xdr:pic>
      <xdr:nvPicPr>
        <xdr:cNvPr id="1061" name="Imagem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400175" y="230809800"/>
          <a:ext cx="3676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989</xdr:row>
      <xdr:rowOff>76200</xdr:rowOff>
    </xdr:from>
    <xdr:to>
      <xdr:col>7</xdr:col>
      <xdr:colOff>1152525</xdr:colOff>
      <xdr:row>1008</xdr:row>
      <xdr:rowOff>142875</xdr:rowOff>
    </xdr:to>
    <xdr:pic>
      <xdr:nvPicPr>
        <xdr:cNvPr id="10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191262000"/>
          <a:ext cx="5838825" cy="3686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789</xdr:row>
      <xdr:rowOff>57150</xdr:rowOff>
    </xdr:from>
    <xdr:to>
      <xdr:col>7</xdr:col>
      <xdr:colOff>1123950</xdr:colOff>
      <xdr:row>808</xdr:row>
      <xdr:rowOff>66675</xdr:rowOff>
    </xdr:to>
    <xdr:pic>
      <xdr:nvPicPr>
        <xdr:cNvPr id="106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" y="153142950"/>
          <a:ext cx="5838825" cy="3629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1197</xdr:row>
      <xdr:rowOff>0</xdr:rowOff>
    </xdr:from>
    <xdr:to>
      <xdr:col>7</xdr:col>
      <xdr:colOff>247650</xdr:colOff>
      <xdr:row>1199</xdr:row>
      <xdr:rowOff>0</xdr:rowOff>
    </xdr:to>
    <xdr:pic>
      <xdr:nvPicPr>
        <xdr:cNvPr id="1064" name="Imagem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400175" y="230809800"/>
          <a:ext cx="36766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135355</xdr:colOff>
      <xdr:row>98</xdr:row>
      <xdr:rowOff>190499</xdr:rowOff>
    </xdr:from>
    <xdr:to>
      <xdr:col>56</xdr:col>
      <xdr:colOff>601</xdr:colOff>
      <xdr:row>100</xdr:row>
      <xdr:rowOff>7499</xdr:rowOff>
    </xdr:to>
    <xdr:sp macro="" textlink="">
      <xdr:nvSpPr>
        <xdr:cNvPr id="2" name="Retângulo 1"/>
        <xdr:cNvSpPr/>
      </xdr:nvSpPr>
      <xdr:spPr>
        <a:xfrm>
          <a:off x="15108655" y="20754974"/>
          <a:ext cx="46221" cy="23610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56</xdr:col>
      <xdr:colOff>5013</xdr:colOff>
      <xdr:row>99</xdr:row>
      <xdr:rowOff>1</xdr:rowOff>
    </xdr:from>
    <xdr:to>
      <xdr:col>56</xdr:col>
      <xdr:colOff>50732</xdr:colOff>
      <xdr:row>100</xdr:row>
      <xdr:rowOff>7501</xdr:rowOff>
    </xdr:to>
    <xdr:sp macro="" textlink="">
      <xdr:nvSpPr>
        <xdr:cNvPr id="3" name="Retângulo 2"/>
        <xdr:cNvSpPr/>
      </xdr:nvSpPr>
      <xdr:spPr>
        <a:xfrm>
          <a:off x="15159288" y="20774026"/>
          <a:ext cx="45719" cy="21705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56</xdr:col>
      <xdr:colOff>5013</xdr:colOff>
      <xdr:row>104</xdr:row>
      <xdr:rowOff>5013</xdr:rowOff>
    </xdr:from>
    <xdr:to>
      <xdr:col>56</xdr:col>
      <xdr:colOff>50732</xdr:colOff>
      <xdr:row>105</xdr:row>
      <xdr:rowOff>1713</xdr:rowOff>
    </xdr:to>
    <xdr:sp macro="" textlink="">
      <xdr:nvSpPr>
        <xdr:cNvPr id="4" name="Retângulo 3"/>
        <xdr:cNvSpPr/>
      </xdr:nvSpPr>
      <xdr:spPr>
        <a:xfrm>
          <a:off x="15159288" y="21826788"/>
          <a:ext cx="45719" cy="2062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62</xdr:col>
      <xdr:colOff>0</xdr:colOff>
      <xdr:row>104</xdr:row>
      <xdr:rowOff>0</xdr:rowOff>
    </xdr:from>
    <xdr:to>
      <xdr:col>62</xdr:col>
      <xdr:colOff>45719</xdr:colOff>
      <xdr:row>104</xdr:row>
      <xdr:rowOff>187200</xdr:rowOff>
    </xdr:to>
    <xdr:sp macro="" textlink="">
      <xdr:nvSpPr>
        <xdr:cNvPr id="5" name="Retângulo 4"/>
        <xdr:cNvSpPr/>
      </xdr:nvSpPr>
      <xdr:spPr>
        <a:xfrm>
          <a:off x="16240125" y="21821775"/>
          <a:ext cx="45719" cy="187200"/>
        </a:xfrm>
        <a:prstGeom prst="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62</xdr:col>
      <xdr:colOff>46900</xdr:colOff>
      <xdr:row>104</xdr:row>
      <xdr:rowOff>3990</xdr:rowOff>
    </xdr:from>
    <xdr:to>
      <xdr:col>62</xdr:col>
      <xdr:colOff>92619</xdr:colOff>
      <xdr:row>105</xdr:row>
      <xdr:rowOff>690</xdr:rowOff>
    </xdr:to>
    <xdr:sp macro="" textlink="">
      <xdr:nvSpPr>
        <xdr:cNvPr id="6" name="Retângulo 5"/>
        <xdr:cNvSpPr/>
      </xdr:nvSpPr>
      <xdr:spPr>
        <a:xfrm>
          <a:off x="16287025" y="21825765"/>
          <a:ext cx="45719" cy="20625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63</xdr:col>
      <xdr:colOff>16220</xdr:colOff>
      <xdr:row>99</xdr:row>
      <xdr:rowOff>1</xdr:rowOff>
    </xdr:from>
    <xdr:to>
      <xdr:col>63</xdr:col>
      <xdr:colOff>61939</xdr:colOff>
      <xdr:row>100</xdr:row>
      <xdr:rowOff>7501</xdr:rowOff>
    </xdr:to>
    <xdr:sp macro="" textlink="">
      <xdr:nvSpPr>
        <xdr:cNvPr id="7" name="Retângulo 6"/>
        <xdr:cNvSpPr/>
      </xdr:nvSpPr>
      <xdr:spPr>
        <a:xfrm>
          <a:off x="16437320" y="20774026"/>
          <a:ext cx="45719" cy="217050"/>
        </a:xfrm>
        <a:prstGeom prst="rect">
          <a:avLst/>
        </a:prstGeom>
        <a:solidFill>
          <a:schemeClr val="accent4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ipe/Projetos/Porto%20de%20Paranagu&#225;/CPU/CPU%20-%20PORTO%20DE%20PARANAGU&#193;%20-%20Rev.%2010.1%20-%20outubro%20de%202014%20+%20Cronogram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PU"/>
      <sheetName val="RESUMO"/>
      <sheetName val="Euro"/>
      <sheetName val="Dólar"/>
      <sheetName val="Assoreamento"/>
      <sheetName val="Cron_Finc"/>
      <sheetName val="Cron_fis"/>
    </sheetNames>
    <sheetDataSet>
      <sheetData sheetId="0">
        <row r="461">
          <cell r="H461">
            <v>1018704.1106168604</v>
          </cell>
        </row>
        <row r="470">
          <cell r="H470">
            <v>2</v>
          </cell>
        </row>
        <row r="476">
          <cell r="H476">
            <v>0.40741681890343751</v>
          </cell>
        </row>
        <row r="480">
          <cell r="H480">
            <v>3.976766835895444</v>
          </cell>
        </row>
        <row r="488">
          <cell r="A488" t="str">
            <v>BRAVO 2</v>
          </cell>
        </row>
        <row r="561">
          <cell r="H561">
            <v>796426.8056614683</v>
          </cell>
        </row>
        <row r="568">
          <cell r="H568">
            <v>1526202.45</v>
          </cell>
        </row>
        <row r="570">
          <cell r="H570">
            <v>2</v>
          </cell>
        </row>
        <row r="572">
          <cell r="H572">
            <v>28.744683864559661</v>
          </cell>
        </row>
        <row r="576">
          <cell r="H576">
            <v>0.48776084798432062</v>
          </cell>
        </row>
        <row r="580">
          <cell r="H580">
            <v>4.1155441655039366</v>
          </cell>
        </row>
        <row r="582">
          <cell r="H582">
            <v>244413.03382519167</v>
          </cell>
        </row>
        <row r="584">
          <cell r="H584">
            <v>33.347988878047914</v>
          </cell>
        </row>
        <row r="588">
          <cell r="A588" t="str">
            <v>SURDINHO Norte</v>
          </cell>
        </row>
        <row r="661">
          <cell r="H661">
            <v>696564.8155613048</v>
          </cell>
        </row>
        <row r="668">
          <cell r="H668">
            <v>395634.42000000004</v>
          </cell>
        </row>
        <row r="670">
          <cell r="H670">
            <v>2</v>
          </cell>
        </row>
        <row r="672">
          <cell r="H672">
            <v>8.5196900093465935</v>
          </cell>
        </row>
        <row r="676">
          <cell r="H676">
            <v>4.3923809352292868E-3</v>
          </cell>
        </row>
        <row r="680">
          <cell r="H680">
            <v>0.13776856711924168</v>
          </cell>
        </row>
        <row r="682">
          <cell r="H682">
            <v>6601.6209707721864</v>
          </cell>
        </row>
        <row r="684">
          <cell r="H684">
            <v>8.6618509574010645</v>
          </cell>
        </row>
        <row r="688">
          <cell r="A688" t="str">
            <v>CHARLIE 1</v>
          </cell>
        </row>
        <row r="761">
          <cell r="H761">
            <v>672473.44847837312</v>
          </cell>
        </row>
        <row r="768">
          <cell r="H768">
            <v>4632506.4000000004</v>
          </cell>
        </row>
        <row r="770">
          <cell r="H770">
            <v>2</v>
          </cell>
        </row>
        <row r="772">
          <cell r="H772">
            <v>103.33136000719698</v>
          </cell>
        </row>
        <row r="776">
          <cell r="H776">
            <v>1.0886049405850005</v>
          </cell>
        </row>
        <row r="780">
          <cell r="H780">
            <v>1.7875661048727525</v>
          </cell>
        </row>
        <row r="782">
          <cell r="H782">
            <v>128943.24409017485</v>
          </cell>
        </row>
        <row r="784">
          <cell r="H784">
            <v>106.20753105265473</v>
          </cell>
        </row>
        <row r="788">
          <cell r="A788" t="str">
            <v>CHARLIE 3 EXT. A</v>
          </cell>
        </row>
        <row r="861">
          <cell r="H861">
            <v>647287.98321845976</v>
          </cell>
        </row>
        <row r="868">
          <cell r="H868">
            <v>1297578.6299999999</v>
          </cell>
        </row>
        <row r="870">
          <cell r="H870">
            <v>2</v>
          </cell>
        </row>
        <row r="872">
          <cell r="H872">
            <v>30.06958255770833</v>
          </cell>
        </row>
        <row r="876">
          <cell r="H876">
            <v>0.10899244075080071</v>
          </cell>
        </row>
        <row r="880">
          <cell r="H880">
            <v>0.88738893505522454</v>
          </cell>
        </row>
        <row r="882">
          <cell r="H882">
            <v>42996.379417461096</v>
          </cell>
        </row>
        <row r="884">
          <cell r="H884">
            <v>31.065963933514354</v>
          </cell>
        </row>
        <row r="888">
          <cell r="A888" t="str">
            <v>CHARLIE 3 EXT. B</v>
          </cell>
        </row>
        <row r="961">
          <cell r="H961">
            <v>633498.64021756523</v>
          </cell>
        </row>
        <row r="968">
          <cell r="H968">
            <v>257641.68</v>
          </cell>
        </row>
        <row r="970">
          <cell r="H970">
            <v>2</v>
          </cell>
        </row>
        <row r="972">
          <cell r="H972">
            <v>6.1004475063636354</v>
          </cell>
        </row>
        <row r="976">
          <cell r="H976">
            <v>1.5184736074529493E-2</v>
          </cell>
        </row>
        <row r="980">
          <cell r="H980">
            <v>0.66982041641312662</v>
          </cell>
        </row>
        <row r="982">
          <cell r="H982">
            <v>28929.988842863739</v>
          </cell>
        </row>
        <row r="984">
          <cell r="H984">
            <v>6.785452658851292</v>
          </cell>
        </row>
        <row r="988">
          <cell r="A988" t="str">
            <v>ARMADILHA</v>
          </cell>
        </row>
        <row r="990">
          <cell r="A990">
            <v>1800</v>
          </cell>
        </row>
        <row r="1261">
          <cell r="H1261">
            <v>190305.45910641359</v>
          </cell>
        </row>
        <row r="1268">
          <cell r="H1268">
            <v>820600.29000000027</v>
          </cell>
        </row>
        <row r="1270">
          <cell r="H1270">
            <v>1</v>
          </cell>
        </row>
        <row r="1272">
          <cell r="H1272">
            <v>129.36049662261286</v>
          </cell>
        </row>
        <row r="1276">
          <cell r="H1276">
            <v>6.2156057168558618</v>
          </cell>
        </row>
        <row r="1280">
          <cell r="H1280">
            <v>6.4325809124879747</v>
          </cell>
        </row>
        <row r="1282">
          <cell r="H1282">
            <v>80233.965445362701</v>
          </cell>
        </row>
        <row r="1284">
          <cell r="H1284">
            <v>142.00868325195668</v>
          </cell>
        </row>
        <row r="1288">
          <cell r="A1288" t="str">
            <v>CHARLIE 2</v>
          </cell>
        </row>
        <row r="1361">
          <cell r="H1361">
            <v>91533.504016950654</v>
          </cell>
        </row>
        <row r="1368">
          <cell r="H1368">
            <v>107855.48633009015</v>
          </cell>
        </row>
        <row r="1370">
          <cell r="H1370">
            <v>1</v>
          </cell>
        </row>
        <row r="1372">
          <cell r="H1372">
            <v>35.349510811948235</v>
          </cell>
        </row>
        <row r="1376">
          <cell r="H1376">
            <v>0.52299826026548757</v>
          </cell>
        </row>
        <row r="1380">
          <cell r="H1380">
            <v>3.4992274905631433</v>
          </cell>
        </row>
        <row r="1382">
          <cell r="H1382">
            <v>12272.280564018494</v>
          </cell>
        </row>
        <row r="1384">
          <cell r="H1384">
            <v>39.371736562776867</v>
          </cell>
        </row>
        <row r="1388">
          <cell r="A1388" t="str">
            <v>CHARLIE 3 INT. A</v>
          </cell>
        </row>
        <row r="1461">
          <cell r="H1461">
            <v>88652.007239457904</v>
          </cell>
        </row>
        <row r="1468">
          <cell r="H1468">
            <v>52919.840000000004</v>
          </cell>
        </row>
        <row r="1470">
          <cell r="H1470">
            <v>1</v>
          </cell>
        </row>
        <row r="1472">
          <cell r="H1472">
            <v>17.908169814043209</v>
          </cell>
        </row>
        <row r="1476">
          <cell r="H1476">
            <v>4.8749595708882661E-2</v>
          </cell>
        </row>
        <row r="1480">
          <cell r="H1480">
            <v>0.70022508547707729</v>
          </cell>
        </row>
        <row r="1482">
          <cell r="H1482">
            <v>2213.2702952889467</v>
          </cell>
        </row>
        <row r="1484">
          <cell r="H1484">
            <v>18.657144495229169</v>
          </cell>
        </row>
        <row r="1488">
          <cell r="A1488" t="str">
            <v>CHARLIE 3 INT. B</v>
          </cell>
        </row>
        <row r="2016">
          <cell r="H2016">
            <v>81600</v>
          </cell>
        </row>
        <row r="2044">
          <cell r="H2044">
            <v>108854.68</v>
          </cell>
        </row>
        <row r="2046">
          <cell r="H2046">
            <v>1</v>
          </cell>
        </row>
        <row r="2048">
          <cell r="H2048">
            <v>40.020102941176468</v>
          </cell>
        </row>
        <row r="2052">
          <cell r="H2052">
            <v>0.16084620957296861</v>
          </cell>
        </row>
        <row r="2056">
          <cell r="H2056">
            <v>0.94353393911033834</v>
          </cell>
        </row>
        <row r="2058">
          <cell r="H2058">
            <v>3003.9140044185947</v>
          </cell>
        </row>
        <row r="2060">
          <cell r="H2060">
            <v>41.124483089859773</v>
          </cell>
        </row>
        <row r="2151">
          <cell r="H2151">
            <v>14.74</v>
          </cell>
        </row>
        <row r="2156">
          <cell r="H2156">
            <v>29645407.669999998</v>
          </cell>
        </row>
        <row r="2159">
          <cell r="H2159">
            <v>18.86</v>
          </cell>
        </row>
        <row r="2164">
          <cell r="H2164">
            <v>33393808.030000001</v>
          </cell>
        </row>
        <row r="2167">
          <cell r="H2167">
            <v>21.56</v>
          </cell>
        </row>
        <row r="2172">
          <cell r="H2172">
            <v>8672209.0499999989</v>
          </cell>
        </row>
        <row r="2175">
          <cell r="H2175">
            <v>22.34</v>
          </cell>
        </row>
        <row r="2180">
          <cell r="H2180">
            <v>106370785.05</v>
          </cell>
        </row>
        <row r="2191">
          <cell r="H2191">
            <v>23.21</v>
          </cell>
        </row>
        <row r="2196">
          <cell r="H2196">
            <v>31114745.969999999</v>
          </cell>
        </row>
        <row r="2199">
          <cell r="H2199">
            <v>23.71</v>
          </cell>
        </row>
        <row r="2204">
          <cell r="H2204">
            <v>6794614.2700000005</v>
          </cell>
        </row>
        <row r="2212">
          <cell r="H2212">
            <v>20.43</v>
          </cell>
        </row>
        <row r="2217">
          <cell r="H2217">
            <v>18404043.829999998</v>
          </cell>
        </row>
        <row r="2220">
          <cell r="H2220">
            <v>42.48</v>
          </cell>
        </row>
        <row r="2225">
          <cell r="H2225">
            <v>5103027.5399999991</v>
          </cell>
        </row>
        <row r="2228">
          <cell r="H2228">
            <v>43.86</v>
          </cell>
        </row>
        <row r="2233">
          <cell r="H2233">
            <v>2418138.2200000002</v>
          </cell>
        </row>
        <row r="2241">
          <cell r="H2241">
            <v>35.450000000000003</v>
          </cell>
        </row>
        <row r="2246">
          <cell r="H2246">
            <v>3965387.16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52"/>
  <sheetViews>
    <sheetView tabSelected="1" showWhiteSpace="0" view="pageLayout" topLeftCell="A13" zoomScale="85" zoomScaleNormal="85" zoomScaleSheetLayoutView="115" zoomScalePageLayoutView="85" workbookViewId="0">
      <selection activeCell="C16" sqref="C16"/>
    </sheetView>
  </sheetViews>
  <sheetFormatPr defaultRowHeight="15"/>
  <cols>
    <col min="1" max="1" width="17.5703125" customWidth="1"/>
    <col min="2" max="2" width="10.85546875" customWidth="1"/>
    <col min="3" max="3" width="7.28515625" customWidth="1"/>
    <col min="4" max="4" width="6.85546875" customWidth="1"/>
    <col min="5" max="5" width="8.42578125" customWidth="1"/>
    <col min="6" max="6" width="12" customWidth="1"/>
    <col min="7" max="7" width="9.42578125" style="237" customWidth="1"/>
    <col min="8" max="8" width="17.5703125" customWidth="1"/>
    <col min="9" max="9" width="7.7109375" style="237" customWidth="1"/>
  </cols>
  <sheetData>
    <row r="1" spans="1:9" ht="15" customHeight="1">
      <c r="A1" s="93"/>
      <c r="B1" s="93"/>
      <c r="C1" s="93"/>
      <c r="D1" s="93"/>
      <c r="E1" s="93"/>
      <c r="F1" s="93"/>
      <c r="G1" s="94"/>
      <c r="H1" s="93"/>
      <c r="I1" s="94"/>
    </row>
    <row r="2" spans="1:9" ht="15" customHeight="1">
      <c r="A2" s="734" t="s">
        <v>391</v>
      </c>
      <c r="B2" s="734"/>
      <c r="C2" s="734"/>
      <c r="D2" s="734"/>
      <c r="E2" s="734"/>
      <c r="F2" s="734"/>
      <c r="G2" s="734"/>
      <c r="H2" s="734"/>
      <c r="I2" s="734"/>
    </row>
    <row r="3" spans="1:9" ht="6" customHeight="1">
      <c r="I3" s="54"/>
    </row>
    <row r="4" spans="1:9" ht="15" customHeight="1">
      <c r="A4" s="739" t="s">
        <v>390</v>
      </c>
      <c r="B4" s="739"/>
      <c r="C4" s="739"/>
      <c r="D4" s="739"/>
      <c r="E4" s="739"/>
      <c r="F4" s="739"/>
      <c r="G4" s="739"/>
      <c r="H4" s="739"/>
      <c r="I4" s="739"/>
    </row>
    <row r="5" spans="1:9" ht="15" customHeight="1">
      <c r="A5" s="739"/>
      <c r="B5" s="739"/>
      <c r="C5" s="739"/>
      <c r="D5" s="739"/>
      <c r="E5" s="739"/>
      <c r="F5" s="739"/>
      <c r="G5" s="739"/>
      <c r="H5" s="739"/>
      <c r="I5" s="739"/>
    </row>
    <row r="6" spans="1:9" ht="15" customHeight="1">
      <c r="A6" s="739"/>
      <c r="B6" s="739"/>
      <c r="C6" s="739"/>
      <c r="D6" s="739"/>
      <c r="E6" s="739"/>
      <c r="F6" s="739"/>
      <c r="G6" s="739"/>
      <c r="H6" s="739"/>
      <c r="I6" s="739"/>
    </row>
    <row r="7" spans="1:9" ht="9" customHeight="1">
      <c r="A7" s="87"/>
      <c r="B7" s="57"/>
      <c r="C7" s="57"/>
      <c r="D7" s="57"/>
      <c r="E7" s="57"/>
      <c r="F7" s="57"/>
      <c r="G7" s="72"/>
      <c r="H7" s="57"/>
      <c r="I7" s="72"/>
    </row>
    <row r="8" spans="1:9" ht="15" customHeight="1">
      <c r="A8" s="739" t="s">
        <v>362</v>
      </c>
      <c r="B8" s="739"/>
      <c r="C8" s="739"/>
      <c r="D8" s="739"/>
      <c r="E8" s="739"/>
      <c r="F8" s="739"/>
      <c r="G8" s="739"/>
      <c r="H8" s="739"/>
      <c r="I8" s="739"/>
    </row>
    <row r="9" spans="1:9" ht="15" customHeight="1">
      <c r="A9" s="739" t="s">
        <v>172</v>
      </c>
      <c r="B9" s="739"/>
      <c r="C9" s="739"/>
      <c r="D9" s="739"/>
      <c r="E9" s="739"/>
      <c r="F9" s="739"/>
      <c r="G9" s="739"/>
      <c r="H9" s="739"/>
      <c r="I9" s="739"/>
    </row>
    <row r="10" spans="1:9" ht="6" customHeight="1">
      <c r="B10" s="54"/>
      <c r="C10" s="54"/>
      <c r="D10" s="54"/>
      <c r="E10" s="54"/>
      <c r="F10" s="54"/>
      <c r="G10" s="54"/>
      <c r="H10" s="54"/>
      <c r="I10" s="54"/>
    </row>
    <row r="11" spans="1:9" ht="15" customHeight="1">
      <c r="A11" s="54" t="s">
        <v>422</v>
      </c>
      <c r="B11" s="88"/>
      <c r="C11" s="54"/>
      <c r="D11" s="54"/>
      <c r="E11" s="54"/>
      <c r="F11" s="54"/>
      <c r="G11" s="54"/>
      <c r="H11" s="54"/>
      <c r="I11" s="54"/>
    </row>
    <row r="12" spans="1:9" ht="15" customHeight="1">
      <c r="A12" s="54" t="s">
        <v>363</v>
      </c>
      <c r="B12" s="54"/>
      <c r="C12" s="54"/>
      <c r="D12" s="54"/>
    </row>
    <row r="13" spans="1:9" ht="15" customHeight="1">
      <c r="A13" s="54" t="s">
        <v>192</v>
      </c>
      <c r="B13" s="54"/>
      <c r="C13" s="54"/>
      <c r="D13" s="54"/>
      <c r="E13" s="54"/>
      <c r="F13" s="54"/>
      <c r="G13" s="54"/>
      <c r="H13" s="54"/>
      <c r="I13" s="54"/>
    </row>
    <row r="14" spans="1:9" ht="15" customHeight="1">
      <c r="A14" s="54"/>
      <c r="B14" s="54"/>
      <c r="C14" s="54"/>
      <c r="D14" s="54"/>
      <c r="E14" s="54"/>
      <c r="F14" s="54"/>
      <c r="G14" s="54"/>
      <c r="H14" s="54"/>
      <c r="I14" s="54"/>
    </row>
    <row r="15" spans="1:9" ht="15" customHeight="1">
      <c r="A15" s="54" t="s">
        <v>512</v>
      </c>
      <c r="B15" s="54"/>
      <c r="C15" s="54"/>
      <c r="D15" s="54"/>
      <c r="E15" s="54"/>
      <c r="F15" s="54"/>
      <c r="G15" s="54"/>
      <c r="H15" s="54"/>
      <c r="I15" s="54"/>
    </row>
    <row r="16" spans="1:9" ht="15" customHeight="1">
      <c r="A16" s="54" t="s">
        <v>511</v>
      </c>
      <c r="B16" s="54"/>
      <c r="C16" s="54"/>
      <c r="D16" s="54"/>
      <c r="E16" s="54"/>
      <c r="F16" s="54"/>
      <c r="G16" s="54"/>
      <c r="H16" s="54"/>
      <c r="I16" s="54"/>
    </row>
    <row r="17" spans="1:9" s="351" customFormat="1" ht="6" customHeight="1">
      <c r="A17" s="54"/>
      <c r="B17" s="54"/>
      <c r="C17" s="54"/>
      <c r="D17" s="54"/>
      <c r="E17" s="54"/>
      <c r="F17" s="54"/>
      <c r="G17" s="54"/>
      <c r="H17" s="54"/>
      <c r="I17" s="54"/>
    </row>
    <row r="18" spans="1:9" s="351" customFormat="1" ht="28.35" customHeight="1">
      <c r="A18" s="746" t="s">
        <v>339</v>
      </c>
      <c r="B18" s="747"/>
      <c r="C18" s="747"/>
      <c r="D18" s="747"/>
      <c r="E18" s="747"/>
      <c r="F18" s="747"/>
      <c r="G18" s="747"/>
      <c r="H18" s="748"/>
      <c r="I18" s="54"/>
    </row>
    <row r="19" spans="1:9" s="351" customFormat="1" ht="28.35" customHeight="1">
      <c r="A19" s="711" t="s">
        <v>340</v>
      </c>
      <c r="B19" s="711" t="s">
        <v>349</v>
      </c>
      <c r="C19" s="711" t="s">
        <v>341</v>
      </c>
      <c r="D19" s="711" t="s">
        <v>352</v>
      </c>
      <c r="E19" s="711" t="s">
        <v>350</v>
      </c>
      <c r="F19" s="711" t="s">
        <v>351</v>
      </c>
      <c r="G19" s="288" t="s">
        <v>353</v>
      </c>
      <c r="H19" s="711" t="s">
        <v>342</v>
      </c>
      <c r="I19" s="54"/>
    </row>
    <row r="20" spans="1:9" s="351" customFormat="1" ht="28.35" customHeight="1">
      <c r="A20" s="285" t="s">
        <v>343</v>
      </c>
      <c r="B20" s="286">
        <v>-18</v>
      </c>
      <c r="C20" s="286" t="s">
        <v>344</v>
      </c>
      <c r="D20" s="286">
        <v>0.7</v>
      </c>
      <c r="E20" s="286">
        <v>7.6</v>
      </c>
      <c r="F20" s="287">
        <f>F33+F55</f>
        <v>8394565.2199999988</v>
      </c>
      <c r="G20" s="287">
        <v>2532309.48</v>
      </c>
      <c r="H20" s="287">
        <f>SUM(F20:G20)</f>
        <v>10926874.699999999</v>
      </c>
      <c r="I20" s="54"/>
    </row>
    <row r="21" spans="1:9" s="351" customFormat="1" ht="28.35" customHeight="1">
      <c r="A21" s="289" t="s">
        <v>442</v>
      </c>
      <c r="B21" s="290">
        <v>-16</v>
      </c>
      <c r="C21" s="290" t="s">
        <v>344</v>
      </c>
      <c r="D21" s="290">
        <v>0.7</v>
      </c>
      <c r="E21" s="290">
        <v>13.5</v>
      </c>
      <c r="F21" s="291">
        <f>F34+F56</f>
        <v>5027939.92</v>
      </c>
      <c r="G21" s="291">
        <f>558381.42+190716.37</f>
        <v>749097.79</v>
      </c>
      <c r="H21" s="291">
        <f>SUM(F21:G21)</f>
        <v>5777037.71</v>
      </c>
      <c r="I21" s="54"/>
    </row>
    <row r="22" spans="1:9" s="351" customFormat="1" ht="28.35" customHeight="1">
      <c r="A22" s="285" t="s">
        <v>346</v>
      </c>
      <c r="B22" s="286">
        <v>-10.5</v>
      </c>
      <c r="C22" s="286" t="s">
        <v>344</v>
      </c>
      <c r="D22" s="286">
        <v>0.7</v>
      </c>
      <c r="E22" s="286">
        <v>18.8</v>
      </c>
      <c r="F22" s="287">
        <f>F35+F57</f>
        <v>1278874.7098681589</v>
      </c>
      <c r="G22" s="287">
        <v>613075.34</v>
      </c>
      <c r="H22" s="287">
        <f>SUM(F22:G22)</f>
        <v>1891950.049868159</v>
      </c>
      <c r="I22" s="54"/>
    </row>
    <row r="23" spans="1:9" s="351" customFormat="1" ht="28.35" customHeight="1">
      <c r="A23" s="289" t="s">
        <v>347</v>
      </c>
      <c r="B23" s="290">
        <v>-10.5</v>
      </c>
      <c r="C23" s="290" t="s">
        <v>344</v>
      </c>
      <c r="D23" s="290">
        <v>0.7</v>
      </c>
      <c r="E23" s="290">
        <v>18.899999999999999</v>
      </c>
      <c r="F23" s="291">
        <f>F36+F58</f>
        <v>86463.030131841268</v>
      </c>
      <c r="G23" s="291">
        <v>54659.67</v>
      </c>
      <c r="H23" s="291">
        <f>SUM(F23:G23)</f>
        <v>141122.70013184127</v>
      </c>
      <c r="I23" s="54"/>
    </row>
    <row r="24" spans="1:9" s="351" customFormat="1" ht="28.35" customHeight="1">
      <c r="A24" s="292" t="s">
        <v>325</v>
      </c>
      <c r="B24" s="749"/>
      <c r="C24" s="750"/>
      <c r="D24" s="750"/>
      <c r="E24" s="750"/>
      <c r="F24" s="750"/>
      <c r="G24" s="751"/>
      <c r="H24" s="293">
        <f>SUM(H20:H23)</f>
        <v>18736985.16</v>
      </c>
      <c r="I24" s="54"/>
    </row>
    <row r="25" spans="1:9" s="351" customFormat="1" ht="15" customHeight="1">
      <c r="A25" s="54"/>
      <c r="B25" s="54"/>
      <c r="C25" s="54"/>
      <c r="D25" s="54"/>
      <c r="E25" s="54"/>
      <c r="F25" s="54"/>
      <c r="G25" s="54"/>
      <c r="H25" s="54"/>
      <c r="I25" s="54"/>
    </row>
    <row r="26" spans="1:9" s="351" customFormat="1" ht="15" customHeight="1">
      <c r="A26" s="752" t="s">
        <v>421</v>
      </c>
      <c r="B26" s="752"/>
      <c r="C26" s="752"/>
      <c r="D26" s="752"/>
      <c r="E26" s="752"/>
      <c r="F26" s="752"/>
      <c r="G26" s="752"/>
      <c r="H26" s="752"/>
      <c r="I26" s="752"/>
    </row>
    <row r="27" spans="1:9" s="351" customFormat="1" ht="15" customHeight="1">
      <c r="A27" s="752"/>
      <c r="B27" s="752"/>
      <c r="C27" s="752"/>
      <c r="D27" s="752"/>
      <c r="E27" s="752"/>
      <c r="F27" s="752"/>
      <c r="G27" s="752"/>
      <c r="H27" s="752"/>
      <c r="I27" s="752"/>
    </row>
    <row r="28" spans="1:9" s="351" customFormat="1" ht="15" customHeight="1">
      <c r="A28" s="54" t="s">
        <v>364</v>
      </c>
      <c r="B28"/>
      <c r="C28"/>
      <c r="D28"/>
      <c r="E28"/>
      <c r="F28"/>
      <c r="G28" s="237"/>
      <c r="H28"/>
      <c r="I28" s="54"/>
    </row>
    <row r="29" spans="1:9" s="351" customFormat="1" ht="15" customHeight="1">
      <c r="A29" s="54"/>
      <c r="B29" s="54"/>
      <c r="C29" s="54"/>
      <c r="D29" s="54"/>
      <c r="E29" s="54"/>
      <c r="F29" s="54"/>
      <c r="G29" s="54"/>
      <c r="H29" s="54"/>
      <c r="I29" s="54"/>
    </row>
    <row r="30" spans="1:9" s="351" customFormat="1" ht="15" customHeight="1">
      <c r="A30" s="54" t="s">
        <v>510</v>
      </c>
      <c r="B30" s="54"/>
      <c r="C30" s="54"/>
      <c r="D30" s="54"/>
      <c r="E30" s="54"/>
      <c r="F30" s="54"/>
      <c r="G30" s="54"/>
      <c r="H30" s="54"/>
      <c r="I30" s="54"/>
    </row>
    <row r="31" spans="1:9" ht="28.35" customHeight="1">
      <c r="A31" s="746" t="s">
        <v>339</v>
      </c>
      <c r="B31" s="747"/>
      <c r="C31" s="747"/>
      <c r="D31" s="747"/>
      <c r="E31" s="747"/>
      <c r="F31" s="747"/>
      <c r="G31" s="747"/>
      <c r="H31" s="748"/>
      <c r="I31" s="54"/>
    </row>
    <row r="32" spans="1:9" ht="28.35" customHeight="1">
      <c r="A32" s="306" t="s">
        <v>340</v>
      </c>
      <c r="B32" s="306" t="s">
        <v>349</v>
      </c>
      <c r="C32" s="306" t="s">
        <v>341</v>
      </c>
      <c r="D32" s="306" t="s">
        <v>352</v>
      </c>
      <c r="E32" s="306" t="s">
        <v>350</v>
      </c>
      <c r="F32" s="306" t="s">
        <v>351</v>
      </c>
      <c r="G32" s="288" t="s">
        <v>353</v>
      </c>
      <c r="H32" s="306" t="s">
        <v>342</v>
      </c>
      <c r="I32" s="284"/>
    </row>
    <row r="33" spans="1:9" ht="28.35" customHeight="1">
      <c r="A33" s="285" t="s">
        <v>343</v>
      </c>
      <c r="B33" s="286">
        <v>-18</v>
      </c>
      <c r="C33" s="286" t="s">
        <v>344</v>
      </c>
      <c r="D33" s="286">
        <v>0.7</v>
      </c>
      <c r="E33" s="286">
        <v>7.6</v>
      </c>
      <c r="F33" s="287">
        <v>6439074.2199999997</v>
      </c>
      <c r="G33" s="287">
        <v>2532309.48</v>
      </c>
      <c r="H33" s="287">
        <f>SUM(F33:G33)</f>
        <v>8971383.6999999993</v>
      </c>
      <c r="I33" s="54"/>
    </row>
    <row r="34" spans="1:9" ht="28.35" customHeight="1">
      <c r="A34" s="289" t="s">
        <v>442</v>
      </c>
      <c r="B34" s="290">
        <v>-16</v>
      </c>
      <c r="C34" s="290" t="s">
        <v>344</v>
      </c>
      <c r="D34" s="290">
        <v>0.7</v>
      </c>
      <c r="E34" s="290">
        <v>13.5</v>
      </c>
      <c r="F34" s="291">
        <f>1974525.11+843414.81</f>
        <v>2817939.92</v>
      </c>
      <c r="G34" s="291">
        <f>558381.42+190716.37</f>
        <v>749097.79</v>
      </c>
      <c r="H34" s="291">
        <f>SUM(F34:G34)</f>
        <v>3567037.71</v>
      </c>
      <c r="I34" s="54"/>
    </row>
    <row r="35" spans="1:9" ht="28.35" customHeight="1">
      <c r="A35" s="285" t="s">
        <v>346</v>
      </c>
      <c r="B35" s="286">
        <v>-10.5</v>
      </c>
      <c r="C35" s="286" t="s">
        <v>344</v>
      </c>
      <c r="D35" s="286">
        <v>0.7</v>
      </c>
      <c r="E35" s="286">
        <v>18.8</v>
      </c>
      <c r="F35" s="287">
        <v>1080784.57</v>
      </c>
      <c r="G35" s="287">
        <v>613075.34</v>
      </c>
      <c r="H35" s="287">
        <f>SUM(F35:G35)</f>
        <v>1693859.9100000001</v>
      </c>
      <c r="I35" s="54"/>
    </row>
    <row r="36" spans="1:9" ht="28.35" customHeight="1">
      <c r="A36" s="289" t="s">
        <v>347</v>
      </c>
      <c r="B36" s="290">
        <v>-10.5</v>
      </c>
      <c r="C36" s="290" t="s">
        <v>344</v>
      </c>
      <c r="D36" s="290">
        <v>0.7</v>
      </c>
      <c r="E36" s="290">
        <v>18.899999999999999</v>
      </c>
      <c r="F36" s="291">
        <v>69553.17</v>
      </c>
      <c r="G36" s="291">
        <v>54659.67</v>
      </c>
      <c r="H36" s="291">
        <f>SUM(F36:G36)</f>
        <v>124212.84</v>
      </c>
      <c r="I36" s="54"/>
    </row>
    <row r="37" spans="1:9" ht="28.35" customHeight="1">
      <c r="A37" s="292" t="s">
        <v>325</v>
      </c>
      <c r="B37" s="749"/>
      <c r="C37" s="750"/>
      <c r="D37" s="750"/>
      <c r="E37" s="750"/>
      <c r="F37" s="750"/>
      <c r="G37" s="751"/>
      <c r="H37" s="293">
        <f>SUM(H33:H36)</f>
        <v>14356494.16</v>
      </c>
      <c r="I37" s="54"/>
    </row>
    <row r="38" spans="1:9" ht="15" customHeight="1">
      <c r="I38" s="54"/>
    </row>
    <row r="39" spans="1:9" ht="15" customHeight="1">
      <c r="B39" s="54"/>
      <c r="C39" s="54"/>
      <c r="D39" s="54"/>
      <c r="E39" s="54"/>
      <c r="F39" s="54"/>
      <c r="G39" s="54"/>
      <c r="H39" s="54"/>
      <c r="I39" s="54"/>
    </row>
    <row r="40" spans="1:9" s="351" customFormat="1" ht="15" customHeight="1">
      <c r="A40" s="96"/>
      <c r="B40" s="96"/>
      <c r="C40" s="96"/>
      <c r="D40" s="96"/>
      <c r="E40" s="96"/>
      <c r="F40" s="96"/>
      <c r="G40" s="97"/>
      <c r="H40" s="96"/>
      <c r="I40" s="97"/>
    </row>
    <row r="41" spans="1:9" s="351" customFormat="1" ht="15" customHeight="1">
      <c r="A41" s="734" t="s">
        <v>365</v>
      </c>
      <c r="B41" s="734"/>
      <c r="C41" s="734"/>
      <c r="D41" s="734"/>
      <c r="E41" s="734"/>
      <c r="F41" s="734"/>
      <c r="G41" s="734"/>
      <c r="H41" s="734"/>
      <c r="I41" s="734"/>
    </row>
    <row r="42" spans="1:9" s="351" customFormat="1" ht="15" customHeight="1">
      <c r="A42" s="54"/>
      <c r="B42" s="54"/>
      <c r="C42" s="54"/>
      <c r="D42" s="54"/>
      <c r="E42" s="54"/>
      <c r="F42" s="54"/>
      <c r="G42" s="54"/>
      <c r="H42" s="54"/>
      <c r="I42" s="54"/>
    </row>
    <row r="43" spans="1:9" s="351" customFormat="1" ht="15" customHeight="1">
      <c r="A43" s="738" t="s">
        <v>416</v>
      </c>
      <c r="B43" s="738"/>
      <c r="C43" s="738"/>
      <c r="D43" s="738"/>
      <c r="E43" s="738"/>
      <c r="F43" s="738"/>
      <c r="G43" s="738"/>
      <c r="H43" s="738"/>
      <c r="I43" s="738"/>
    </row>
    <row r="44" spans="1:9" s="351" customFormat="1" ht="15" customHeight="1"/>
    <row r="45" spans="1:9" s="351" customFormat="1" ht="15" customHeight="1">
      <c r="A45" s="739" t="s">
        <v>508</v>
      </c>
      <c r="B45" s="739"/>
      <c r="C45" s="739"/>
      <c r="D45" s="739"/>
      <c r="E45" s="739"/>
      <c r="F45" s="739"/>
      <c r="G45" s="739"/>
      <c r="H45" s="739"/>
      <c r="I45" s="739"/>
    </row>
    <row r="46" spans="1:9" s="351" customFormat="1" ht="15" customHeight="1">
      <c r="A46" s="739"/>
      <c r="B46" s="739"/>
      <c r="C46" s="739"/>
      <c r="D46" s="739"/>
      <c r="E46" s="739"/>
      <c r="F46" s="739"/>
      <c r="G46" s="739"/>
      <c r="H46" s="739"/>
      <c r="I46" s="739"/>
    </row>
    <row r="47" spans="1:9" s="351" customFormat="1" ht="15" customHeight="1">
      <c r="A47" s="739"/>
      <c r="B47" s="739"/>
      <c r="C47" s="739"/>
      <c r="D47" s="739"/>
      <c r="E47" s="739"/>
      <c r="F47" s="739"/>
      <c r="G47" s="739"/>
      <c r="H47" s="739"/>
      <c r="I47" s="739"/>
    </row>
    <row r="48" spans="1:9" s="351" customFormat="1" ht="15" customHeight="1">
      <c r="A48" s="739"/>
      <c r="B48" s="739"/>
      <c r="C48" s="739"/>
      <c r="D48" s="739"/>
      <c r="E48" s="739"/>
      <c r="F48" s="739"/>
      <c r="G48" s="739"/>
      <c r="H48" s="739"/>
      <c r="I48" s="739"/>
    </row>
    <row r="49" spans="1:9" s="351" customFormat="1" ht="15" customHeight="1">
      <c r="A49" s="54"/>
      <c r="B49" s="54"/>
      <c r="C49" s="54"/>
      <c r="D49" s="54"/>
      <c r="E49" s="54"/>
      <c r="F49" s="54"/>
      <c r="G49" s="54"/>
      <c r="H49" s="54"/>
      <c r="I49" s="54"/>
    </row>
    <row r="50" spans="1:9" s="351" customFormat="1" ht="15" customHeight="1">
      <c r="A50" s="54" t="s">
        <v>420</v>
      </c>
      <c r="B50" s="369"/>
      <c r="C50" s="369"/>
      <c r="D50" s="369"/>
      <c r="E50" s="54"/>
      <c r="F50" s="54"/>
      <c r="G50" s="54"/>
      <c r="H50" s="54"/>
      <c r="I50" s="54"/>
    </row>
    <row r="51" spans="1:9" s="351" customFormat="1" ht="15" customHeight="1">
      <c r="A51" s="54" t="s">
        <v>169</v>
      </c>
      <c r="B51" s="54"/>
      <c r="C51" s="54"/>
      <c r="D51" s="54"/>
      <c r="E51" s="54"/>
      <c r="F51" s="54"/>
      <c r="G51" s="54"/>
      <c r="H51" s="54"/>
      <c r="I51" s="54"/>
    </row>
    <row r="52" spans="1:9" s="351" customFormat="1" ht="15" customHeight="1">
      <c r="A52" s="369"/>
      <c r="B52" s="54"/>
      <c r="C52" s="54"/>
      <c r="D52" s="54"/>
      <c r="E52" s="54"/>
      <c r="F52" s="54"/>
      <c r="G52" s="54"/>
      <c r="H52" s="54"/>
      <c r="I52" s="54"/>
    </row>
    <row r="53" spans="1:9" s="351" customFormat="1" ht="25.5" customHeight="1">
      <c r="A53" s="757" t="s">
        <v>339</v>
      </c>
      <c r="B53" s="757"/>
      <c r="C53" s="757"/>
      <c r="D53" s="757"/>
      <c r="E53" s="757"/>
      <c r="F53" s="757"/>
      <c r="G53" s="757"/>
      <c r="H53" s="283"/>
      <c r="I53" s="283"/>
    </row>
    <row r="54" spans="1:9" s="351" customFormat="1" ht="25.5" customHeight="1">
      <c r="A54" s="434" t="s">
        <v>340</v>
      </c>
      <c r="B54" s="434" t="s">
        <v>349</v>
      </c>
      <c r="C54" s="434" t="s">
        <v>341</v>
      </c>
      <c r="D54" s="434" t="s">
        <v>352</v>
      </c>
      <c r="E54" s="434" t="s">
        <v>350</v>
      </c>
      <c r="F54" s="758" t="s">
        <v>342</v>
      </c>
      <c r="G54" s="758"/>
    </row>
    <row r="55" spans="1:9" s="351" customFormat="1" ht="25.5" customHeight="1">
      <c r="A55" s="285" t="s">
        <v>343</v>
      </c>
      <c r="B55" s="286">
        <v>-18</v>
      </c>
      <c r="C55" s="286" t="s">
        <v>344</v>
      </c>
      <c r="D55" s="286">
        <v>0.7</v>
      </c>
      <c r="E55" s="286">
        <v>7.6</v>
      </c>
      <c r="F55" s="759">
        <v>1955491</v>
      </c>
      <c r="G55" s="759"/>
    </row>
    <row r="56" spans="1:9" s="351" customFormat="1" ht="25.5" customHeight="1">
      <c r="A56" s="289" t="s">
        <v>442</v>
      </c>
      <c r="B56" s="290">
        <v>-16</v>
      </c>
      <c r="C56" s="290" t="s">
        <v>344</v>
      </c>
      <c r="D56" s="290">
        <v>0.7</v>
      </c>
      <c r="E56" s="290">
        <v>13.5</v>
      </c>
      <c r="F56" s="760">
        <f>2210000</f>
        <v>2210000</v>
      </c>
      <c r="G56" s="760"/>
    </row>
    <row r="57" spans="1:9" s="351" customFormat="1" ht="25.5" customHeight="1">
      <c r="A57" s="285" t="s">
        <v>346</v>
      </c>
      <c r="B57" s="286">
        <v>-10.5</v>
      </c>
      <c r="C57" s="286" t="s">
        <v>344</v>
      </c>
      <c r="D57" s="286">
        <v>0.7</v>
      </c>
      <c r="E57" s="286">
        <v>18.8</v>
      </c>
      <c r="F57" s="761">
        <v>198090.13986815879</v>
      </c>
      <c r="G57" s="762"/>
    </row>
    <row r="58" spans="1:9" s="351" customFormat="1" ht="25.5" customHeight="1">
      <c r="A58" s="289" t="s">
        <v>347</v>
      </c>
      <c r="B58" s="290">
        <v>-10.5</v>
      </c>
      <c r="C58" s="290" t="s">
        <v>344</v>
      </c>
      <c r="D58" s="290">
        <v>0.7</v>
      </c>
      <c r="E58" s="290">
        <v>18.899999999999999</v>
      </c>
      <c r="F58" s="735">
        <v>16909.860131841273</v>
      </c>
      <c r="G58" s="736"/>
    </row>
    <row r="59" spans="1:9" s="351" customFormat="1" ht="25.5" customHeight="1">
      <c r="A59" s="292" t="s">
        <v>325</v>
      </c>
      <c r="B59" s="304"/>
      <c r="C59" s="305"/>
      <c r="D59" s="305"/>
      <c r="E59" s="305"/>
      <c r="F59" s="737">
        <f>SUM(F55:G58)</f>
        <v>4380491</v>
      </c>
      <c r="G59" s="737"/>
    </row>
    <row r="60" spans="1:9" s="351" customFormat="1" ht="15" customHeight="1">
      <c r="A60" s="369"/>
      <c r="B60" s="54"/>
      <c r="C60" s="54"/>
      <c r="D60" s="54"/>
      <c r="E60" s="54"/>
      <c r="F60" s="54"/>
      <c r="G60" s="54"/>
      <c r="H60" s="54"/>
      <c r="I60" s="54"/>
    </row>
    <row r="61" spans="1:9" s="351" customFormat="1" ht="15" customHeight="1">
      <c r="A61" s="54"/>
      <c r="B61" s="54"/>
      <c r="C61" s="54"/>
      <c r="D61" s="54"/>
      <c r="E61" s="369"/>
      <c r="F61" s="369"/>
      <c r="G61" s="371"/>
      <c r="H61" s="369"/>
      <c r="I61" s="371"/>
    </row>
    <row r="62" spans="1:9" s="351" customFormat="1" ht="15" customHeight="1">
      <c r="A62" s="54"/>
      <c r="B62" s="54"/>
      <c r="C62" s="54"/>
      <c r="D62" s="54"/>
      <c r="E62" s="54"/>
      <c r="F62" s="54"/>
      <c r="G62" s="54"/>
      <c r="H62" s="54"/>
      <c r="I62" s="54"/>
    </row>
    <row r="63" spans="1:9" s="351" customFormat="1" ht="15" customHeight="1"/>
    <row r="64" spans="1:9" s="351" customFormat="1" ht="15" customHeight="1"/>
    <row r="65" spans="1:9" s="351" customFormat="1" ht="15" customHeight="1"/>
    <row r="66" spans="1:9" s="351" customFormat="1" ht="15" customHeight="1"/>
    <row r="67" spans="1:9" s="351" customFormat="1" ht="15" customHeight="1"/>
    <row r="68" spans="1:9" s="351" customFormat="1" ht="15" customHeight="1"/>
    <row r="69" spans="1:9" s="351" customFormat="1" ht="15" customHeight="1"/>
    <row r="70" spans="1:9" s="351" customFormat="1" ht="15" customHeight="1"/>
    <row r="71" spans="1:9" s="351" customFormat="1" ht="15" customHeight="1"/>
    <row r="72" spans="1:9" s="351" customFormat="1" ht="15" customHeight="1">
      <c r="A72" s="54"/>
      <c r="B72" s="54"/>
      <c r="C72" s="54"/>
      <c r="D72" s="54"/>
      <c r="E72" s="54"/>
      <c r="F72" s="54"/>
      <c r="G72" s="54"/>
      <c r="H72" s="54"/>
      <c r="I72" s="54"/>
    </row>
    <row r="73" spans="1:9" s="351" customFormat="1" ht="15" customHeight="1">
      <c r="A73" s="54"/>
      <c r="B73" s="54"/>
      <c r="C73" s="54"/>
      <c r="D73" s="54"/>
      <c r="E73" s="54"/>
      <c r="F73" s="54"/>
      <c r="G73" s="54"/>
      <c r="H73" s="54"/>
      <c r="I73" s="54"/>
    </row>
    <row r="74" spans="1:9" s="351" customFormat="1" ht="15" customHeight="1">
      <c r="A74" s="54"/>
      <c r="B74" s="54"/>
      <c r="C74" s="54"/>
      <c r="D74" s="54"/>
      <c r="E74" s="54"/>
      <c r="F74" s="54"/>
      <c r="G74" s="54"/>
      <c r="H74" s="54"/>
      <c r="I74" s="54"/>
    </row>
    <row r="75" spans="1:9" s="351" customFormat="1" ht="15" customHeight="1">
      <c r="A75" s="54"/>
      <c r="B75" s="54"/>
      <c r="C75" s="54"/>
      <c r="D75" s="54"/>
      <c r="E75" s="54"/>
      <c r="F75" s="54"/>
      <c r="G75" s="54"/>
      <c r="H75" s="54"/>
      <c r="I75" s="54"/>
    </row>
    <row r="76" spans="1:9" s="351" customFormat="1" ht="15" customHeight="1">
      <c r="A76" s="54"/>
      <c r="B76" s="54"/>
      <c r="C76" s="54"/>
      <c r="D76" s="54"/>
      <c r="E76" s="54"/>
      <c r="F76" s="54"/>
      <c r="G76" s="54"/>
      <c r="H76" s="54"/>
      <c r="I76" s="54"/>
    </row>
    <row r="77" spans="1:9" s="351" customFormat="1" ht="15" customHeight="1">
      <c r="A77" s="54"/>
      <c r="B77" s="54"/>
      <c r="C77" s="54"/>
      <c r="D77" s="54"/>
      <c r="E77" s="54"/>
      <c r="F77" s="54"/>
      <c r="G77" s="54"/>
      <c r="H77" s="54"/>
      <c r="I77" s="54"/>
    </row>
    <row r="78" spans="1:9" s="351" customFormat="1" ht="15" customHeight="1">
      <c r="A78" s="396"/>
      <c r="B78" s="396"/>
      <c r="C78" s="396"/>
      <c r="D78" s="396"/>
      <c r="E78" s="396"/>
      <c r="F78" s="396"/>
      <c r="G78" s="396"/>
      <c r="H78" s="396"/>
      <c r="I78" s="396"/>
    </row>
    <row r="79" spans="1:9" s="351" customFormat="1" ht="15" customHeight="1">
      <c r="A79" s="396"/>
      <c r="B79" s="396"/>
      <c r="C79" s="396"/>
      <c r="D79" s="396"/>
      <c r="E79" s="396"/>
      <c r="F79" s="396"/>
      <c r="G79" s="396"/>
      <c r="H79" s="396"/>
      <c r="I79" s="396"/>
    </row>
    <row r="80" spans="1:9" s="351" customFormat="1" ht="15" customHeight="1">
      <c r="A80" s="369"/>
      <c r="B80" s="54"/>
      <c r="C80" s="54"/>
      <c r="D80" s="54"/>
      <c r="E80" s="54"/>
      <c r="F80" s="54"/>
      <c r="G80" s="54"/>
      <c r="H80" s="54"/>
      <c r="I80" s="54"/>
    </row>
    <row r="81" spans="1:9" s="351" customFormat="1" ht="15" customHeight="1">
      <c r="A81" s="369"/>
      <c r="B81" s="369"/>
      <c r="C81" s="369"/>
      <c r="D81" s="369"/>
      <c r="E81" s="369"/>
      <c r="F81" s="369"/>
      <c r="G81" s="371"/>
      <c r="H81" s="369"/>
      <c r="I81" s="54"/>
    </row>
    <row r="82" spans="1:9" s="351" customFormat="1" ht="15" customHeight="1">
      <c r="A82" s="369"/>
      <c r="B82" s="369"/>
      <c r="C82" s="369"/>
      <c r="D82" s="369"/>
      <c r="E82" s="369"/>
      <c r="F82" s="369"/>
      <c r="G82" s="371"/>
      <c r="H82" s="369"/>
      <c r="I82" s="54"/>
    </row>
    <row r="83" spans="1:9" s="351" customFormat="1" ht="15" customHeight="1">
      <c r="A83" s="369"/>
      <c r="B83" s="369"/>
      <c r="C83" s="369"/>
      <c r="D83" s="369"/>
      <c r="E83" s="369"/>
      <c r="F83" s="369"/>
      <c r="G83" s="371"/>
      <c r="H83" s="369"/>
      <c r="I83" s="54"/>
    </row>
    <row r="84" spans="1:9" s="351" customFormat="1" ht="15" customHeight="1">
      <c r="A84" s="85"/>
      <c r="B84" s="85"/>
      <c r="C84" s="85"/>
      <c r="D84" s="85"/>
      <c r="E84" s="85"/>
      <c r="F84" s="85"/>
      <c r="G84" s="85"/>
      <c r="H84" s="85"/>
      <c r="I84" s="85"/>
    </row>
    <row r="85" spans="1:9" ht="15" customHeight="1">
      <c r="A85" s="93"/>
      <c r="B85" s="93"/>
      <c r="C85" s="93"/>
      <c r="D85" s="93"/>
      <c r="E85" s="93"/>
      <c r="F85" s="93"/>
      <c r="G85" s="94"/>
      <c r="H85" s="93"/>
      <c r="I85" s="177"/>
    </row>
    <row r="86" spans="1:9" ht="15" customHeight="1">
      <c r="A86" s="734" t="s">
        <v>365</v>
      </c>
      <c r="B86" s="734"/>
      <c r="C86" s="734"/>
      <c r="D86" s="734"/>
      <c r="E86" s="734"/>
      <c r="F86" s="734"/>
      <c r="G86" s="734"/>
      <c r="H86" s="734"/>
      <c r="I86" s="734"/>
    </row>
    <row r="87" spans="1:9" ht="15" customHeight="1">
      <c r="A87" s="182"/>
      <c r="B87" s="182"/>
      <c r="C87" s="182"/>
      <c r="D87" s="182"/>
      <c r="E87" s="182"/>
      <c r="F87" s="182"/>
      <c r="G87" s="214"/>
      <c r="H87" s="182"/>
      <c r="I87" s="214"/>
    </row>
    <row r="88" spans="1:9" ht="15" customHeight="1">
      <c r="A88" s="167" t="s">
        <v>165</v>
      </c>
      <c r="B88" s="167"/>
      <c r="C88" s="167"/>
      <c r="D88" s="167"/>
      <c r="E88" s="167"/>
      <c r="F88" s="167"/>
      <c r="G88" s="168"/>
      <c r="H88" s="167"/>
      <c r="I88" s="168"/>
    </row>
    <row r="89" spans="1:9" ht="15" customHeight="1">
      <c r="A89" s="167" t="s">
        <v>166</v>
      </c>
      <c r="B89" s="167"/>
      <c r="C89" s="167"/>
      <c r="D89" s="167"/>
      <c r="E89" s="167"/>
      <c r="F89" s="167"/>
      <c r="G89" s="168"/>
      <c r="H89" s="167"/>
      <c r="I89" s="168"/>
    </row>
    <row r="90" spans="1:9" ht="15" customHeight="1">
      <c r="A90" s="167" t="s">
        <v>167</v>
      </c>
      <c r="B90" s="167"/>
      <c r="C90" s="167"/>
      <c r="D90" s="167"/>
      <c r="E90" s="167"/>
      <c r="F90" s="167"/>
      <c r="G90" s="168"/>
      <c r="H90" s="167"/>
      <c r="I90" s="168"/>
    </row>
    <row r="91" spans="1:9" ht="15" customHeight="1">
      <c r="A91" s="167"/>
      <c r="B91" s="167"/>
      <c r="C91" s="167"/>
      <c r="D91" s="167"/>
      <c r="E91" s="167"/>
      <c r="F91" s="167"/>
      <c r="G91" s="168"/>
      <c r="H91" s="167"/>
      <c r="I91" s="168"/>
    </row>
    <row r="92" spans="1:9" ht="15" customHeight="1">
      <c r="A92" s="167" t="s">
        <v>117</v>
      </c>
      <c r="B92" s="167"/>
      <c r="C92" s="167"/>
      <c r="D92" s="167"/>
      <c r="E92" s="167"/>
      <c r="F92" s="167"/>
      <c r="G92" s="168"/>
      <c r="H92" s="167"/>
      <c r="I92" s="168"/>
    </row>
    <row r="93" spans="1:9" ht="15" customHeight="1">
      <c r="A93" s="167" t="s">
        <v>115</v>
      </c>
      <c r="B93" s="167"/>
      <c r="C93" s="167"/>
      <c r="D93" s="167"/>
      <c r="E93" s="167"/>
      <c r="F93" s="167"/>
      <c r="G93" s="168"/>
      <c r="H93" s="167"/>
      <c r="I93" s="168"/>
    </row>
    <row r="94" spans="1:9" ht="15" customHeight="1">
      <c r="A94" s="167"/>
      <c r="B94" s="167"/>
      <c r="C94" s="167"/>
      <c r="D94" s="167"/>
      <c r="E94" s="167"/>
      <c r="F94" s="167"/>
      <c r="G94" s="168"/>
      <c r="H94" s="167"/>
      <c r="I94" s="168"/>
    </row>
    <row r="95" spans="1:9" ht="15" customHeight="1">
      <c r="A95" s="167" t="s">
        <v>118</v>
      </c>
      <c r="B95" s="167"/>
      <c r="C95" s="167"/>
      <c r="D95" s="167"/>
      <c r="E95" s="167"/>
      <c r="F95" s="167"/>
      <c r="G95" s="168"/>
      <c r="H95" s="167"/>
      <c r="I95" s="168"/>
    </row>
    <row r="96" spans="1:9" ht="15" customHeight="1">
      <c r="A96" s="167" t="s">
        <v>116</v>
      </c>
      <c r="B96" s="176"/>
      <c r="C96" s="176"/>
      <c r="D96" s="176"/>
      <c r="E96" s="176"/>
      <c r="F96" s="176"/>
      <c r="G96" s="176"/>
      <c r="H96" s="176"/>
      <c r="I96" s="176"/>
    </row>
    <row r="97" spans="1:9" ht="15" customHeight="1">
      <c r="A97" s="167"/>
      <c r="B97" s="176"/>
      <c r="C97" s="176"/>
      <c r="D97" s="176"/>
      <c r="E97" s="176"/>
      <c r="F97" s="176"/>
      <c r="G97" s="176"/>
      <c r="H97" s="176"/>
      <c r="I97" s="176"/>
    </row>
    <row r="98" spans="1:9" ht="15" customHeight="1">
      <c r="A98" s="176" t="s">
        <v>114</v>
      </c>
      <c r="B98" s="176"/>
      <c r="C98" s="176"/>
      <c r="D98" s="176"/>
      <c r="E98" s="176"/>
      <c r="F98" s="176"/>
      <c r="G98" s="176"/>
      <c r="H98" s="176"/>
      <c r="I98" s="176"/>
    </row>
    <row r="99" spans="1:9" ht="15" customHeight="1">
      <c r="A99" s="62"/>
      <c r="B99" s="62"/>
      <c r="C99" s="62"/>
      <c r="D99" s="62"/>
      <c r="E99" s="62"/>
      <c r="F99" s="62"/>
      <c r="G99" s="62"/>
      <c r="H99" s="62"/>
      <c r="I99" s="62"/>
    </row>
    <row r="100" spans="1:9" ht="15" customHeight="1">
      <c r="A100" s="766" t="str">
        <f>A33</f>
        <v>Canal Externo</v>
      </c>
      <c r="B100" s="767"/>
      <c r="C100" s="767"/>
      <c r="D100" s="767"/>
      <c r="E100" s="767"/>
      <c r="F100" s="767"/>
      <c r="G100" s="767"/>
      <c r="H100" s="767"/>
      <c r="I100" s="768"/>
    </row>
    <row r="101" spans="1:9" ht="15" customHeight="1">
      <c r="A101" s="167"/>
      <c r="B101" s="167"/>
      <c r="C101" s="167"/>
      <c r="D101" s="167"/>
      <c r="E101" s="167"/>
      <c r="F101" s="167"/>
      <c r="G101" s="168"/>
      <c r="H101" s="167"/>
      <c r="I101" s="168"/>
    </row>
    <row r="102" spans="1:9" ht="15" customHeight="1">
      <c r="A102" s="733">
        <f>H110</f>
        <v>11000</v>
      </c>
      <c r="B102" s="733"/>
      <c r="C102" s="733"/>
      <c r="D102" s="733"/>
      <c r="E102" s="733"/>
      <c r="F102" s="733"/>
      <c r="G102" s="733"/>
      <c r="H102" s="733"/>
      <c r="I102" s="733"/>
    </row>
    <row r="103" spans="1:9" ht="15" customHeight="1">
      <c r="A103" s="167"/>
      <c r="B103" s="176"/>
      <c r="C103" s="176"/>
      <c r="D103" s="176"/>
      <c r="E103" s="176"/>
      <c r="F103" s="176"/>
      <c r="G103" s="176"/>
      <c r="H103" s="176"/>
      <c r="I103" s="176"/>
    </row>
    <row r="104" spans="1:9" ht="15" customHeight="1">
      <c r="A104" s="164" t="s">
        <v>30</v>
      </c>
      <c r="B104" s="178"/>
      <c r="C104" s="178"/>
      <c r="D104" s="178"/>
      <c r="E104" s="178"/>
      <c r="F104" s="178"/>
      <c r="G104" s="179"/>
      <c r="H104" s="180">
        <f>ROUND(MAX(RESUMO!$B$4:$D$4),2)</f>
        <v>3.25</v>
      </c>
      <c r="I104" s="181" t="s">
        <v>23</v>
      </c>
    </row>
    <row r="105" spans="1:9" ht="15" customHeight="1">
      <c r="A105" s="165"/>
      <c r="B105" s="182"/>
      <c r="C105" s="182"/>
      <c r="D105" s="182"/>
      <c r="E105" s="182"/>
      <c r="F105" s="182"/>
      <c r="G105" s="183"/>
      <c r="H105" s="184"/>
      <c r="I105" s="185"/>
    </row>
    <row r="106" spans="1:9" ht="15" customHeight="1">
      <c r="A106" s="165" t="s">
        <v>31</v>
      </c>
      <c r="B106" s="182"/>
      <c r="C106" s="182"/>
      <c r="D106" s="182"/>
      <c r="E106" s="182"/>
      <c r="F106" s="182"/>
      <c r="G106" s="183"/>
      <c r="H106" s="186" t="s">
        <v>32</v>
      </c>
      <c r="I106" s="185" t="s">
        <v>38</v>
      </c>
    </row>
    <row r="107" spans="1:9" ht="15" customHeight="1">
      <c r="A107" s="165"/>
      <c r="B107" s="182"/>
      <c r="C107" s="182"/>
      <c r="D107" s="182"/>
      <c r="E107" s="182"/>
      <c r="F107" s="182"/>
      <c r="G107" s="183"/>
      <c r="H107" s="187"/>
      <c r="I107" s="185"/>
    </row>
    <row r="108" spans="1:9" ht="15" customHeight="1">
      <c r="A108" s="165" t="s">
        <v>88</v>
      </c>
      <c r="B108" s="182"/>
      <c r="C108" s="182" t="s">
        <v>77</v>
      </c>
      <c r="D108" s="182"/>
      <c r="E108" s="182"/>
      <c r="F108" s="182"/>
      <c r="G108" s="183"/>
      <c r="H108" s="188">
        <f>VLOOKUP(H110,RESUMO!$AB$7:$AK$29,7,FALSE)</f>
        <v>83616000</v>
      </c>
      <c r="I108" s="185" t="s">
        <v>21</v>
      </c>
    </row>
    <row r="109" spans="1:9" ht="15" customHeight="1">
      <c r="A109" s="165"/>
      <c r="B109" s="182"/>
      <c r="C109" s="182"/>
      <c r="D109" s="182"/>
      <c r="E109" s="182"/>
      <c r="F109" s="182"/>
      <c r="G109" s="183"/>
      <c r="H109" s="184"/>
      <c r="I109" s="185"/>
    </row>
    <row r="110" spans="1:9" ht="15" customHeight="1">
      <c r="A110" s="165" t="s">
        <v>33</v>
      </c>
      <c r="B110" s="182"/>
      <c r="C110" s="182"/>
      <c r="D110" s="182" t="s">
        <v>77</v>
      </c>
      <c r="E110" s="182"/>
      <c r="F110" s="182"/>
      <c r="G110" s="183"/>
      <c r="H110" s="189">
        <v>11000</v>
      </c>
      <c r="I110" s="185" t="s">
        <v>13</v>
      </c>
    </row>
    <row r="111" spans="1:9" ht="15" customHeight="1">
      <c r="A111" s="165"/>
      <c r="B111" s="182"/>
      <c r="C111" s="182"/>
      <c r="D111" s="182"/>
      <c r="E111" s="182"/>
      <c r="F111" s="182"/>
      <c r="G111" s="183"/>
      <c r="H111" s="184"/>
      <c r="I111" s="185"/>
    </row>
    <row r="112" spans="1:9" ht="15" customHeight="1">
      <c r="A112" s="165" t="s">
        <v>393</v>
      </c>
      <c r="B112" s="182"/>
      <c r="C112" s="182"/>
      <c r="D112" s="182"/>
      <c r="E112" s="182"/>
      <c r="F112" s="182"/>
      <c r="G112" s="183"/>
      <c r="H112" s="186">
        <f>VLOOKUP(H110,RESUMO!$AB$7:$AL$29,11,FALSE)</f>
        <v>10</v>
      </c>
      <c r="I112" s="185" t="s">
        <v>14</v>
      </c>
    </row>
    <row r="113" spans="1:9" ht="15" customHeight="1">
      <c r="A113" s="165"/>
      <c r="B113" s="182"/>
      <c r="C113" s="182"/>
      <c r="D113" s="182"/>
      <c r="E113" s="182"/>
      <c r="F113" s="182"/>
      <c r="G113" s="183"/>
      <c r="H113" s="184"/>
      <c r="I113" s="185"/>
    </row>
    <row r="114" spans="1:9" ht="15" customHeight="1">
      <c r="A114" s="165" t="s">
        <v>34</v>
      </c>
      <c r="B114" s="182"/>
      <c r="C114" s="182"/>
      <c r="D114" s="182"/>
      <c r="E114" s="182"/>
      <c r="F114" s="182"/>
      <c r="G114" s="183"/>
      <c r="H114" s="232">
        <f>VLOOKUP(A100,$A$33:$H$36,5,FALSE)</f>
        <v>7.6</v>
      </c>
      <c r="I114" s="185" t="s">
        <v>4</v>
      </c>
    </row>
    <row r="115" spans="1:9" ht="15" customHeight="1">
      <c r="A115" s="165"/>
      <c r="B115" s="182"/>
      <c r="C115" s="182"/>
      <c r="D115" s="182"/>
      <c r="E115" s="182"/>
      <c r="F115" s="182"/>
      <c r="G115" s="183"/>
      <c r="H115" s="184"/>
      <c r="I115" s="185"/>
    </row>
    <row r="116" spans="1:9" ht="15" customHeight="1">
      <c r="A116" s="165" t="s">
        <v>111</v>
      </c>
      <c r="B116" s="182"/>
      <c r="C116" s="182" t="s">
        <v>36</v>
      </c>
      <c r="D116" s="182"/>
      <c r="E116" s="182"/>
      <c r="F116" s="182"/>
      <c r="G116" s="183"/>
      <c r="H116" s="189">
        <f>SUM(VLOOKUP(H110,RESUMO!$AB$7:$AK$29,6,FALSE),VLOOKUP(H110,RESUMO!$AB$7:$AK$29,5,FALSE),VLOOKUP(H110,RESUMO!$AB$7:$AK$29,4,FALSE))</f>
        <v>16720</v>
      </c>
      <c r="I116" s="185" t="s">
        <v>37</v>
      </c>
    </row>
    <row r="117" spans="1:9" ht="15" customHeight="1">
      <c r="A117" s="165"/>
      <c r="B117" s="182"/>
      <c r="C117" s="182"/>
      <c r="D117" s="182"/>
      <c r="E117" s="182"/>
      <c r="F117" s="182"/>
      <c r="G117" s="183"/>
      <c r="H117" s="184"/>
      <c r="I117" s="185"/>
    </row>
    <row r="118" spans="1:9" ht="15" customHeight="1">
      <c r="A118" s="165" t="s">
        <v>76</v>
      </c>
      <c r="B118" s="182"/>
      <c r="C118" s="182"/>
      <c r="D118" s="182"/>
      <c r="E118" s="182"/>
      <c r="F118" s="182"/>
      <c r="G118" s="183"/>
      <c r="H118" s="190">
        <f>RESUMO!$B$13</f>
        <v>724</v>
      </c>
      <c r="I118" s="185" t="s">
        <v>23</v>
      </c>
    </row>
    <row r="119" spans="1:9" ht="15" customHeight="1">
      <c r="A119" s="165"/>
      <c r="B119" s="182"/>
      <c r="C119" s="182"/>
      <c r="D119" s="182"/>
      <c r="E119" s="182"/>
      <c r="F119" s="182"/>
      <c r="G119" s="183"/>
      <c r="H119" s="184"/>
      <c r="I119" s="185"/>
    </row>
    <row r="120" spans="1:9" ht="15" customHeight="1">
      <c r="A120" s="165" t="s">
        <v>180</v>
      </c>
      <c r="B120" s="182"/>
      <c r="C120" s="182"/>
      <c r="D120" s="182"/>
      <c r="E120" s="182"/>
      <c r="F120" s="182"/>
      <c r="G120" s="183"/>
      <c r="H120" s="190">
        <f>ROUND(MAX(RESUMO!$B$8:$D$8),2)</f>
        <v>2.56</v>
      </c>
      <c r="I120" s="185" t="s">
        <v>23</v>
      </c>
    </row>
    <row r="121" spans="1:9" ht="15" customHeight="1">
      <c r="A121" s="165"/>
      <c r="B121" s="182"/>
      <c r="C121" s="182"/>
      <c r="D121" s="182"/>
      <c r="E121" s="182"/>
      <c r="F121" s="182"/>
      <c r="G121" s="183"/>
      <c r="H121" s="191"/>
      <c r="I121" s="185"/>
    </row>
    <row r="122" spans="1:9" ht="15" customHeight="1">
      <c r="A122" s="353" t="s">
        <v>119</v>
      </c>
      <c r="B122" s="182"/>
      <c r="C122" s="182"/>
      <c r="D122" s="182"/>
      <c r="E122" s="182"/>
      <c r="F122" s="182"/>
      <c r="H122" s="425" t="s">
        <v>412</v>
      </c>
      <c r="I122" s="426"/>
    </row>
    <row r="123" spans="1:9" ht="15" customHeight="1">
      <c r="A123" s="165"/>
      <c r="B123" s="182"/>
      <c r="C123" s="182"/>
      <c r="D123" s="182"/>
      <c r="E123" s="182"/>
      <c r="F123" s="182"/>
      <c r="G123" s="183"/>
      <c r="H123" s="191"/>
      <c r="I123" s="185"/>
    </row>
    <row r="124" spans="1:9" ht="15" customHeight="1">
      <c r="A124" s="166" t="s">
        <v>170</v>
      </c>
      <c r="B124" s="192"/>
      <c r="C124" s="192"/>
      <c r="D124" s="192"/>
      <c r="E124" s="192"/>
      <c r="F124" s="192"/>
      <c r="G124" s="193"/>
      <c r="H124" s="194">
        <f>VLOOKUP(A100,$A$33:$H$36,8,FALSE)+VLOOKUP(A100,$A$55:$G$58,6,FALSE)</f>
        <v>10926874.699999999</v>
      </c>
      <c r="I124" s="195" t="s">
        <v>13</v>
      </c>
    </row>
    <row r="125" spans="1:9" ht="15" customHeight="1">
      <c r="A125" s="167"/>
      <c r="B125" s="167"/>
      <c r="C125" s="167"/>
      <c r="D125" s="167"/>
      <c r="E125" s="167"/>
      <c r="F125" s="167"/>
      <c r="G125" s="168"/>
      <c r="H125" s="167"/>
      <c r="I125" s="168"/>
    </row>
    <row r="126" spans="1:9" ht="15" customHeight="1">
      <c r="A126" s="196" t="s">
        <v>348</v>
      </c>
      <c r="B126" s="167"/>
      <c r="C126" s="167"/>
      <c r="D126" s="167"/>
      <c r="E126" s="167"/>
      <c r="F126" s="167"/>
      <c r="G126" s="168"/>
      <c r="H126" s="167"/>
      <c r="I126" s="168"/>
    </row>
    <row r="127" spans="1:9" ht="15" customHeight="1">
      <c r="A127" s="182"/>
      <c r="B127" s="182"/>
      <c r="C127" s="182"/>
      <c r="D127" s="182"/>
      <c r="E127" s="182"/>
      <c r="F127" s="182"/>
      <c r="G127" s="214"/>
      <c r="H127" s="182"/>
      <c r="I127" s="214"/>
    </row>
    <row r="128" spans="1:9" ht="15" customHeight="1">
      <c r="A128" s="50"/>
      <c r="B128" s="50"/>
      <c r="C128" s="50"/>
      <c r="D128" s="50"/>
      <c r="E128" s="50"/>
      <c r="F128" s="50"/>
      <c r="G128" s="50"/>
      <c r="H128" s="50"/>
      <c r="I128" s="50"/>
    </row>
    <row r="129" spans="1:9" ht="15" customHeight="1"/>
    <row r="130" spans="1:9" ht="15" customHeight="1">
      <c r="A130" s="51"/>
      <c r="B130" s="51"/>
      <c r="C130" s="51"/>
      <c r="D130" s="51"/>
      <c r="E130" s="51"/>
      <c r="F130" s="51"/>
      <c r="G130" s="51"/>
      <c r="H130" s="51"/>
      <c r="I130" s="51"/>
    </row>
    <row r="131" spans="1:9" ht="15" customHeight="1">
      <c r="A131" s="51"/>
      <c r="B131" s="51"/>
      <c r="C131" s="51"/>
      <c r="D131" s="51"/>
      <c r="E131" s="51"/>
      <c r="F131" s="51"/>
      <c r="G131" s="51"/>
      <c r="H131" s="51"/>
      <c r="I131" s="51"/>
    </row>
    <row r="132" spans="1:9" ht="15" customHeight="1">
      <c r="A132" s="49"/>
      <c r="B132" s="224"/>
      <c r="C132" s="224"/>
      <c r="D132" s="224"/>
      <c r="E132" s="224"/>
      <c r="F132" s="224"/>
      <c r="G132" s="225"/>
      <c r="H132" s="224"/>
      <c r="I132" s="225"/>
    </row>
    <row r="133" spans="1:9" ht="15" customHeight="1">
      <c r="A133" s="49"/>
      <c r="B133" s="224"/>
      <c r="C133" s="224"/>
      <c r="D133" s="224"/>
      <c r="E133" s="224"/>
      <c r="F133" s="224"/>
      <c r="G133" s="225"/>
      <c r="H133" s="224"/>
      <c r="I133" s="225"/>
    </row>
    <row r="134" spans="1:9" ht="15" customHeight="1">
      <c r="A134" s="101"/>
      <c r="B134" s="85"/>
      <c r="C134" s="85"/>
      <c r="D134" s="85"/>
      <c r="E134" s="85"/>
      <c r="F134" s="85"/>
      <c r="G134" s="85"/>
      <c r="H134" s="102"/>
      <c r="I134" s="102"/>
    </row>
    <row r="135" spans="1:9" ht="15" customHeight="1">
      <c r="A135" s="95"/>
      <c r="B135" s="96"/>
      <c r="C135" s="96"/>
      <c r="D135" s="96"/>
      <c r="E135" s="96"/>
      <c r="F135" s="96"/>
      <c r="G135" s="97"/>
      <c r="H135" s="96"/>
      <c r="I135" s="97"/>
    </row>
    <row r="136" spans="1:9" ht="15" customHeight="1">
      <c r="A136" s="738" t="s">
        <v>194</v>
      </c>
      <c r="B136" s="738"/>
      <c r="C136" s="738"/>
      <c r="D136" s="738"/>
      <c r="E136" s="738"/>
      <c r="F136" s="738"/>
      <c r="G136" s="738"/>
      <c r="H136" s="738"/>
      <c r="I136" s="738"/>
    </row>
    <row r="137" spans="1:9" ht="15" customHeight="1">
      <c r="A137" s="769" t="s">
        <v>110</v>
      </c>
      <c r="B137" s="769"/>
      <c r="C137" s="769"/>
      <c r="D137" s="769"/>
      <c r="E137" s="769"/>
      <c r="F137" s="769"/>
      <c r="G137" s="769"/>
      <c r="H137" s="769"/>
      <c r="I137" s="769"/>
    </row>
    <row r="138" spans="1:9" ht="15" customHeight="1">
      <c r="A138" s="255"/>
      <c r="B138" s="255"/>
      <c r="C138" s="255"/>
      <c r="D138" s="255"/>
      <c r="E138" s="255"/>
      <c r="F138" s="255"/>
      <c r="G138" s="255"/>
      <c r="H138" s="255"/>
      <c r="I138" s="255"/>
    </row>
    <row r="139" spans="1:9" ht="15" customHeight="1">
      <c r="A139" s="167" t="s">
        <v>94</v>
      </c>
      <c r="B139" s="167"/>
      <c r="C139" s="167"/>
      <c r="D139" s="167"/>
      <c r="E139" s="167"/>
      <c r="F139" s="167"/>
      <c r="G139" s="168"/>
      <c r="H139" s="167"/>
      <c r="I139" s="168"/>
    </row>
    <row r="140" spans="1:9" ht="15" customHeight="1">
      <c r="A140" s="167"/>
      <c r="B140" s="164" t="str">
        <f>IF(VLOOKUP(H110,RESUMO!$AB$7:$BB$28,15,FALSE)&gt;0,RESUMO!$AP$4,IF(VLOOKUP(H110,RESUMO!$AB$7:$BB$28,16,FALSE)&gt;0,RESUMO!$AQ$4))</f>
        <v>Comandante</v>
      </c>
      <c r="C140" s="178"/>
      <c r="D140" s="307">
        <f>HLOOKUP(B140,RESUMO!$AP$4:$BB$7,3,FALSE)</f>
        <v>30</v>
      </c>
      <c r="E140" s="743">
        <f t="shared" ref="E140:E152" si="0">D140*G140*$H$175</f>
        <v>21720</v>
      </c>
      <c r="F140" s="744"/>
      <c r="G140" s="181">
        <f>VLOOKUP($H$110,RESUMO!$AB$7:$BB$28,HLOOKUP(B140,RESUMO!$AP$4:$BB$7,2,FALSE),FALSE)</f>
        <v>1</v>
      </c>
      <c r="H140" s="167"/>
      <c r="I140" s="168"/>
    </row>
    <row r="141" spans="1:9" ht="15" customHeight="1">
      <c r="A141" s="167"/>
      <c r="B141" s="165" t="str">
        <f>IF(VLOOKUP($H$110,RESUMO!$AB$7:$BB$28,HLOOKUP(B140,RESUMO!$AP$4:$BB$7,2,FALSE)+1,FALSE)&gt;0,HLOOKUP(HLOOKUP(B140,RESUMO!$AP$4:$BB$7,2,FALSE)+1,RESUMO!$AP$1:$BB$4,4,FALSE),IF(VLOOKUP($H$110,RESUMO!$AB$7:$BB$28,HLOOKUP(B140,RESUMO!$AP$4:$BB$7,2,FALSE)+2,FALSE)&gt;0,HLOOKUP(HLOOKUP(B140,RESUMO!$AP$4:$BB$7,2,FALSE)+2,RESUMO!$AP$1:$BB$4,4,FALSE),IF(VLOOKUP($H$110,RESUMO!$AB$7:$BB$28,HLOOKUP(B140,RESUMO!$AP$4:$BB$7,2,FALSE)+3,FALSE)&gt;0,HLOOKUP(HLOOKUP(B140,RESUMO!$AP$4:$BB$7,2,FALSE)+3,RESUMO!$AP$1:$BB$4,4,FALSE),IF(VLOOKUP($H$110,RESUMO!$AB$7:$BB$28,HLOOKUP(B140,RESUMO!$AP$4:$BB$7,2,FALSE)+4,FALSE)&gt;0,HLOOKUP(HLOOKUP(B140,RESUMO!$AP$4:$BB$7,2,FALSE)+4,RESUMO!$AP$1:$BB$4,4,FALSE),IF(VLOOKUP($H$110,RESUMO!$AB$7:$BB$28,HLOOKUP(B140,RESUMO!$AP$4:$BB$7,2,FALSE)+5,FALSE)&gt;0,HLOOKUP(HLOOKUP(B140,RESUMO!$AP$4:$BB$7,2,FALSE)+5,RESUMO!$AP$1:$BB$4,4,FALSE))))))</f>
        <v>MCB Imediato</v>
      </c>
      <c r="C141" s="182"/>
      <c r="D141" s="308">
        <f>HLOOKUP(B141,RESUMO!$AP$4:$BB$7,3,FALSE)</f>
        <v>22</v>
      </c>
      <c r="E141" s="753">
        <f t="shared" si="0"/>
        <v>15928</v>
      </c>
      <c r="F141" s="754"/>
      <c r="G141" s="185">
        <f>VLOOKUP($H$110,RESUMO!$AB$7:$BB$28,HLOOKUP(B141,RESUMO!$AP$4:$BB$7,2,FALSE),FALSE)</f>
        <v>1</v>
      </c>
      <c r="H141" s="167"/>
      <c r="I141" s="168"/>
    </row>
    <row r="142" spans="1:9" ht="15" customHeight="1">
      <c r="A142" s="167"/>
      <c r="B142" s="165" t="str">
        <f>IF(VLOOKUP($H$110,RESUMO!$AB$7:$BB$28,HLOOKUP(B141,RESUMO!$AP$4:$BB$7,2,FALSE)+1,FALSE)&gt;0,HLOOKUP(HLOOKUP(B141,RESUMO!$AP$4:$BB$7,2,FALSE)+1,RESUMO!$AP$1:$BB$4,4,FALSE),IF(VLOOKUP($H$110,RESUMO!$AB$7:$BB$28,HLOOKUP(B141,RESUMO!$AP$4:$BB$7,2,FALSE)+2,FALSE)&gt;0,HLOOKUP(HLOOKUP(B141,RESUMO!$AP$4:$BB$7,2,FALSE)+2,RESUMO!$AP$1:$BB$4,4,FALSE),IF(VLOOKUP($H$110,RESUMO!$AB$7:$BB$28,HLOOKUP(B141,RESUMO!$AP$4:$BB$7,2,FALSE)+3,FALSE)&gt;0,HLOOKUP(HLOOKUP(B141,RESUMO!$AP$4:$BB$7,2,FALSE)+3,RESUMO!$AP$1:$BB$4,4,FALSE),IF(VLOOKUP($H$110,RESUMO!$AB$7:$BB$28,HLOOKUP(B141,RESUMO!$AP$4:$BB$7,2,FALSE)+4,FALSE)&gt;0,HLOOKUP(HLOOKUP(B141,RESUMO!$AP$4:$BB$7,2,FALSE)+4,RESUMO!$AP$1:$BB$4,4,FALSE),IF(VLOOKUP($H$110,RESUMO!$AB$7:$BB$28,HLOOKUP(B141,RESUMO!$AP$4:$BB$7,2,FALSE)+5,FALSE)&gt;0,HLOOKUP(HLOOKUP(B141,RESUMO!$AP$4:$BB$7,2,FALSE)+5,RESUMO!$AP$1:$BB$4,4,FALSE))))))</f>
        <v xml:space="preserve">MCB </v>
      </c>
      <c r="C142" s="182"/>
      <c r="D142" s="308">
        <f>HLOOKUP(B142,RESUMO!$AP$4:$BB$7,3,FALSE)</f>
        <v>12</v>
      </c>
      <c r="E142" s="753">
        <f t="shared" si="0"/>
        <v>17376</v>
      </c>
      <c r="F142" s="754"/>
      <c r="G142" s="185">
        <f>VLOOKUP($H$110,RESUMO!$AB$7:$BB$28,HLOOKUP(B142,RESUMO!$AP$4:$BB$7,2,FALSE),FALSE)</f>
        <v>2</v>
      </c>
      <c r="H142" s="167"/>
      <c r="I142" s="168"/>
    </row>
    <row r="143" spans="1:9" ht="15" customHeight="1">
      <c r="A143" s="167"/>
      <c r="B143" s="165" t="str">
        <f>IF(VLOOKUP($H$110,RESUMO!$AB$7:$BB$28,HLOOKUP(B142,RESUMO!$AP$4:$BB$7,2,FALSE)+1,FALSE)&gt;0,HLOOKUP(HLOOKUP(B142,RESUMO!$AP$4:$BB$7,2,FALSE)+1,RESUMO!$AP$1:$BB$4,4,FALSE),IF(VLOOKUP($H$110,RESUMO!$AB$7:$BB$28,HLOOKUP(B142,RESUMO!$AP$4:$BB$7,2,FALSE)+2,FALSE)&gt;0,HLOOKUP(HLOOKUP(B142,RESUMO!$AP$4:$BB$7,2,FALSE)+2,RESUMO!$AP$1:$BB$4,4,FALSE),IF(VLOOKUP($H$110,RESUMO!$AB$7:$BB$28,HLOOKUP(B142,RESUMO!$AP$4:$BB$7,2,FALSE)+3,FALSE)&gt;0,HLOOKUP(HLOOKUP(B142,RESUMO!$AP$4:$BB$7,2,FALSE)+3,RESUMO!$AP$1:$BB$4,4,FALSE),IF(VLOOKUP($H$110,RESUMO!$AB$7:$BB$28,HLOOKUP(B142,RESUMO!$AP$4:$BB$7,2,FALSE)+4,FALSE)&gt;0,HLOOKUP(HLOOKUP(B142,RESUMO!$AP$4:$BB$7,2,FALSE)+4,RESUMO!$AP$1:$BB$4,4,FALSE),IF(VLOOKUP($H$110,RESUMO!$AB$7:$BB$28,HLOOKUP(B142,RESUMO!$AP$4:$BB$7,2,FALSE)+5,FALSE)&gt;0,HLOOKUP(HLOOKUP(B142,RESUMO!$AP$4:$BB$7,2,FALSE)+5,RESUMO!$AP$1:$BB$4,4,FALSE))))))</f>
        <v>Oficial de Máquinas</v>
      </c>
      <c r="C143" s="182"/>
      <c r="D143" s="308">
        <f>HLOOKUP(B143,RESUMO!$AP$4:$BB$7,3,FALSE)</f>
        <v>22</v>
      </c>
      <c r="E143" s="753">
        <f t="shared" si="0"/>
        <v>15928</v>
      </c>
      <c r="F143" s="754"/>
      <c r="G143" s="185">
        <f>VLOOKUP($H$110,RESUMO!$AB$7:$BB$28,HLOOKUP(B143,RESUMO!$AP$4:$BB$7,2,FALSE),FALSE)</f>
        <v>1</v>
      </c>
      <c r="H143" s="167"/>
      <c r="I143" s="168"/>
    </row>
    <row r="144" spans="1:9" ht="15" customHeight="1">
      <c r="A144" s="167"/>
      <c r="B144" s="165" t="str">
        <f>IF(VLOOKUP($H$110,RESUMO!$AB$7:$BB$28,HLOOKUP(B143,RESUMO!$AP$4:$BB$7,2,FALSE)+1,FALSE)&gt;0,HLOOKUP(HLOOKUP(B143,RESUMO!$AP$4:$BB$7,2,FALSE)+1,RESUMO!$AP$1:$BB$4,4,FALSE),IF(VLOOKUP($H$110,RESUMO!$AB$7:$BB$28,HLOOKUP(B143,RESUMO!$AP$4:$BB$7,2,FALSE)+2,FALSE)&gt;0,HLOOKUP(HLOOKUP(B143,RESUMO!$AP$4:$BB$7,2,FALSE)+2,RESUMO!$AP$1:$BB$4,4,FALSE),IF(VLOOKUP($H$110,RESUMO!$AB$7:$BB$28,HLOOKUP(B143,RESUMO!$AP$4:$BB$7,2,FALSE)+3,FALSE)&gt;0,HLOOKUP(HLOOKUP(B143,RESUMO!$AP$4:$BB$7,2,FALSE)+3,RESUMO!$AP$1:$BB$4,4,FALSE),IF(VLOOKUP($H$110,RESUMO!$AB$7:$BB$28,HLOOKUP(B143,RESUMO!$AP$4:$BB$7,2,FALSE)+4,FALSE)&gt;0,HLOOKUP(HLOOKUP(B143,RESUMO!$AP$4:$BB$7,2,FALSE)+4,RESUMO!$AP$1:$BB$4,4,FALSE),IF(VLOOKUP($H$110,RESUMO!$AB$7:$BB$28,HLOOKUP(B143,RESUMO!$AP$4:$BB$7,2,FALSE)+5,FALSE)&gt;0,HLOOKUP(HLOOKUP(B143,RESUMO!$AP$4:$BB$7,2,FALSE)+5,RESUMO!$AP$1:$BB$4,4,FALSE))))))</f>
        <v>Cond. Máquinas</v>
      </c>
      <c r="C144" s="182"/>
      <c r="D144" s="308">
        <f>HLOOKUP(B144,RESUMO!$AP$4:$BB$7,3,FALSE)</f>
        <v>12</v>
      </c>
      <c r="E144" s="753">
        <f t="shared" si="0"/>
        <v>17376</v>
      </c>
      <c r="F144" s="754"/>
      <c r="G144" s="185">
        <f>VLOOKUP($H$110,RESUMO!$AB$7:$BB$28,HLOOKUP(B144,RESUMO!$AP$4:$BB$7,2,FALSE),FALSE)</f>
        <v>2</v>
      </c>
      <c r="H144" s="167"/>
      <c r="I144" s="168"/>
    </row>
    <row r="145" spans="1:9" ht="15" customHeight="1">
      <c r="A145" s="167"/>
      <c r="B145" s="165" t="str">
        <f>IF(VLOOKUP($H$110,RESUMO!$AB$7:$BB$28,HLOOKUP(B144,RESUMO!$AP$4:$BB$7,2,FALSE)+1,FALSE)&gt;0,HLOOKUP(HLOOKUP(B144,RESUMO!$AP$4:$BB$7,2,FALSE)+1,RESUMO!$AP$1:$BB$4,4,FALSE),IF(VLOOKUP($H$110,RESUMO!$AB$7:$BB$28,HLOOKUP(B144,RESUMO!$AP$4:$BB$7,2,FALSE)+2,FALSE)&gt;0,HLOOKUP(HLOOKUP(B144,RESUMO!$AP$4:$BB$7,2,FALSE)+2,RESUMO!$AP$1:$BB$4,4,FALSE),IF(VLOOKUP($H$110,RESUMO!$AB$7:$BB$28,HLOOKUP(B144,RESUMO!$AP$4:$BB$7,2,FALSE)+3,FALSE)&gt;0,HLOOKUP(HLOOKUP(B144,RESUMO!$AP$4:$BB$7,2,FALSE)+3,RESUMO!$AP$1:$BB$4,4,FALSE),IF(VLOOKUP($H$110,RESUMO!$AB$7:$BB$28,HLOOKUP(B144,RESUMO!$AP$4:$BB$7,2,FALSE)+4,FALSE)&gt;0,HLOOKUP(HLOOKUP(B144,RESUMO!$AP$4:$BB$7,2,FALSE)+4,RESUMO!$AP$1:$BB$4,4,FALSE),IF(VLOOKUP($H$110,RESUMO!$AB$7:$BB$28,HLOOKUP(B144,RESUMO!$AP$4:$BB$7,2,FALSE)+5,FALSE)&gt;0,HLOOKUP(HLOOKUP(B144,RESUMO!$AP$4:$BB$7,2,FALSE)+5,RESUMO!$AP$1:$BB$4,4,FALSE))))))</f>
        <v>Mar. Convés (MNC)</v>
      </c>
      <c r="C145" s="182"/>
      <c r="D145" s="308">
        <f>HLOOKUP(B145,RESUMO!$AP$4:$BB$7,3,FALSE)</f>
        <v>4</v>
      </c>
      <c r="E145" s="753">
        <f t="shared" si="0"/>
        <v>8688</v>
      </c>
      <c r="F145" s="754"/>
      <c r="G145" s="185">
        <f>VLOOKUP($H$110,RESUMO!$AB$7:$BB$28,HLOOKUP(B145,RESUMO!$AP$4:$BB$7,2,FALSE),FALSE)</f>
        <v>3</v>
      </c>
      <c r="H145" s="167"/>
      <c r="I145" s="168"/>
    </row>
    <row r="146" spans="1:9" ht="15" customHeight="1">
      <c r="A146" s="167"/>
      <c r="B146" s="165" t="str">
        <f>IF(VLOOKUP($H$110,RESUMO!$AB$7:$BB$28,HLOOKUP(B145,RESUMO!$AP$4:$BB$7,2,FALSE)+1,FALSE)&gt;0,HLOOKUP(HLOOKUP(B145,RESUMO!$AP$4:$BB$7,2,FALSE)+1,RESUMO!$AP$1:$BB$4,4,FALSE),IF(VLOOKUP($H$110,RESUMO!$AB$7:$BB$28,HLOOKUP(B145,RESUMO!$AP$4:$BB$7,2,FALSE)+2,FALSE)&gt;0,HLOOKUP(HLOOKUP(B145,RESUMO!$AP$4:$BB$7,2,FALSE)+2,RESUMO!$AP$1:$BB$4,4,FALSE),IF(VLOOKUP($H$110,RESUMO!$AB$7:$BB$28,HLOOKUP(B145,RESUMO!$AP$4:$BB$7,2,FALSE)+3,FALSE)&gt;0,HLOOKUP(HLOOKUP(B145,RESUMO!$AP$4:$BB$7,2,FALSE)+3,RESUMO!$AP$1:$BB$4,4,FALSE),IF(VLOOKUP($H$110,RESUMO!$AB$7:$BB$28,HLOOKUP(B145,RESUMO!$AP$4:$BB$7,2,FALSE)+4,FALSE)&gt;0,HLOOKUP(HLOOKUP(B145,RESUMO!$AP$4:$BB$7,2,FALSE)+4,RESUMO!$AP$1:$BB$4,4,FALSE),IF(VLOOKUP($H$110,RESUMO!$AB$7:$BB$28,HLOOKUP(B145,RESUMO!$AP$4:$BB$7,2,FALSE)+5,FALSE)&gt;0,HLOOKUP(HLOOKUP(B145,RESUMO!$AP$4:$BB$7,2,FALSE)+5,RESUMO!$AP$1:$BB$4,4,FALSE))))))</f>
        <v>Draguista (MNC)</v>
      </c>
      <c r="C146" s="182"/>
      <c r="D146" s="308">
        <f>HLOOKUP(B146,RESUMO!$AP$4:$BB$7,3,FALSE)</f>
        <v>12</v>
      </c>
      <c r="E146" s="753">
        <f t="shared" si="0"/>
        <v>26064</v>
      </c>
      <c r="F146" s="754"/>
      <c r="G146" s="185">
        <f>VLOOKUP($H$110,RESUMO!$AB$7:$BB$28,HLOOKUP(B146,RESUMO!$AP$4:$BB$7,2,FALSE),FALSE)</f>
        <v>3</v>
      </c>
      <c r="H146" s="167"/>
      <c r="I146" s="168"/>
    </row>
    <row r="147" spans="1:9" ht="15" customHeight="1">
      <c r="A147" s="167"/>
      <c r="B147" s="165" t="str">
        <f>IF(VLOOKUP($H$110,RESUMO!$AB$7:$BB$28,HLOOKUP(B146,RESUMO!$AP$4:$BB$7,2,FALSE)+1,FALSE)&gt;0,HLOOKUP(HLOOKUP(B146,RESUMO!$AP$4:$BB$7,2,FALSE)+1,RESUMO!$AP$1:$BB$4,4,FALSE),IF(VLOOKUP($H$110,RESUMO!$AB$7:$BB$28,HLOOKUP(B146,RESUMO!$AP$4:$BB$7,2,FALSE)+2,FALSE)&gt;0,HLOOKUP(HLOOKUP(B146,RESUMO!$AP$4:$BB$7,2,FALSE)+2,RESUMO!$AP$1:$BB$4,4,FALSE),IF(VLOOKUP($H$110,RESUMO!$AB$7:$BB$28,HLOOKUP(B146,RESUMO!$AP$4:$BB$7,2,FALSE)+3,FALSE)&gt;0,HLOOKUP(HLOOKUP(B146,RESUMO!$AP$4:$BB$7,2,FALSE)+3,RESUMO!$AP$1:$BB$4,4,FALSE),IF(VLOOKUP($H$110,RESUMO!$AB$7:$BB$28,HLOOKUP(B146,RESUMO!$AP$4:$BB$7,2,FALSE)+4,FALSE)&gt;0,HLOOKUP(HLOOKUP(B146,RESUMO!$AP$4:$BB$7,2,FALSE)+4,RESUMO!$AP$1:$BB$4,4,FALSE),IF(VLOOKUP($H$110,RESUMO!$AB$7:$BB$28,HLOOKUP(B146,RESUMO!$AP$4:$BB$7,2,FALSE)+5,FALSE)&gt;0,HLOOKUP(HLOOKUP(B146,RESUMO!$AP$4:$BB$7,2,FALSE)+5,RESUMO!$AP$1:$BB$4,4,FALSE))))))</f>
        <v>Mar. Máquinas</v>
      </c>
      <c r="C147" s="182"/>
      <c r="D147" s="308">
        <f>HLOOKUP(B147,RESUMO!$AP$4:$BB$7,3,FALSE)</f>
        <v>4</v>
      </c>
      <c r="E147" s="753">
        <f t="shared" si="0"/>
        <v>8688</v>
      </c>
      <c r="F147" s="754"/>
      <c r="G147" s="185">
        <f>VLOOKUP($H$110,RESUMO!$AB$7:$BB$28,HLOOKUP(B147,RESUMO!$AP$4:$BB$7,2,FALSE),FALSE)</f>
        <v>3</v>
      </c>
      <c r="H147" s="167"/>
      <c r="I147" s="168"/>
    </row>
    <row r="148" spans="1:9" ht="15" customHeight="1">
      <c r="A148" s="167"/>
      <c r="B148" s="165" t="str">
        <f>IF(VLOOKUP($H$110,RESUMO!$AB$7:$BB$28,HLOOKUP(B147,RESUMO!$AP$4:$BB$7,2,FALSE)+1,FALSE)&gt;0,HLOOKUP(HLOOKUP(B147,RESUMO!$AP$4:$BB$7,2,FALSE)+1,RESUMO!$AP$1:$BB$4,4,FALSE),IF(VLOOKUP($H$110,RESUMO!$AB$7:$BB$28,HLOOKUP(B147,RESUMO!$AP$4:$BB$7,2,FALSE)+2,FALSE)&gt;0,HLOOKUP(HLOOKUP(B147,RESUMO!$AP$4:$BB$7,2,FALSE)+2,RESUMO!$AP$1:$BB$4,4,FALSE),IF(VLOOKUP($H$110,RESUMO!$AB$7:$BB$28,HLOOKUP(B147,RESUMO!$AP$4:$BB$7,2,FALSE)+3,FALSE)&gt;0,HLOOKUP(HLOOKUP(B147,RESUMO!$AP$4:$BB$7,2,FALSE)+3,RESUMO!$AP$1:$BB$4,4,FALSE),IF(VLOOKUP($H$110,RESUMO!$AB$7:$BB$28,HLOOKUP(B147,RESUMO!$AP$4:$BB$7,2,FALSE)+4,FALSE)&gt;0,HLOOKUP(HLOOKUP(B147,RESUMO!$AP$4:$BB$7,2,FALSE)+4,RESUMO!$AP$1:$BB$4,4,FALSE),IF(VLOOKUP($H$110,RESUMO!$AB$7:$BB$28,HLOOKUP(B147,RESUMO!$AP$4:$BB$7,2,FALSE)+5,FALSE)&gt;0,HLOOKUP(HLOOKUP(B147,RESUMO!$AP$4:$BB$7,2,FALSE)+5,RESUMO!$AP$1:$BB$4,4,FALSE))))))</f>
        <v>Cozinheiro</v>
      </c>
      <c r="C148" s="182"/>
      <c r="D148" s="308">
        <f>HLOOKUP(B148,RESUMO!$AP$4:$BB$7,3,FALSE)</f>
        <v>7</v>
      </c>
      <c r="E148" s="753">
        <f t="shared" si="0"/>
        <v>5068</v>
      </c>
      <c r="F148" s="754"/>
      <c r="G148" s="185">
        <f>VLOOKUP($H$110,RESUMO!$AB$7:$BB$28,HLOOKUP(B148,RESUMO!$AP$4:$BB$7,2,FALSE),FALSE)</f>
        <v>1</v>
      </c>
      <c r="H148" s="167"/>
      <c r="I148" s="168"/>
    </row>
    <row r="149" spans="1:9" ht="15" customHeight="1">
      <c r="A149" s="167"/>
      <c r="B149" s="165" t="str">
        <f>IF(VLOOKUP($H$110,RESUMO!$AB$7:$BB$28,HLOOKUP(B148,RESUMO!$AP$4:$BB$7,2,FALSE)+1,FALSE)&gt;0,HLOOKUP(HLOOKUP(B148,RESUMO!$AP$4:$BB$7,2,FALSE)+1,RESUMO!$AP$1:$BB$4,4,FALSE),IF(VLOOKUP($H$110,RESUMO!$AB$7:$BB$28,HLOOKUP(B148,RESUMO!$AP$4:$BB$7,2,FALSE)+2,FALSE)&gt;0,HLOOKUP(HLOOKUP(B148,RESUMO!$AP$4:$BB$7,2,FALSE)+2,RESUMO!$AP$1:$BB$4,4,FALSE),IF(VLOOKUP($H$110,RESUMO!$AB$7:$BB$28,HLOOKUP(B148,RESUMO!$AP$4:$BB$7,2,FALSE)+3,FALSE)&gt;0,HLOOKUP(HLOOKUP(B148,RESUMO!$AP$4:$BB$7,2,FALSE)+3,RESUMO!$AP$1:$BB$4,4,FALSE),IF(VLOOKUP($H$110,RESUMO!$AB$7:$BB$28,HLOOKUP(B148,RESUMO!$AP$4:$BB$7,2,FALSE)+4,FALSE)&gt;0,HLOOKUP(HLOOKUP(B148,RESUMO!$AP$4:$BB$7,2,FALSE)+4,RESUMO!$AP$1:$BB$4,4,FALSE),IF(VLOOKUP($H$110,RESUMO!$AB$7:$BB$28,HLOOKUP(B148,RESUMO!$AP$4:$BB$7,2,FALSE)+5,FALSE)&gt;0,HLOOKUP(HLOOKUP(B148,RESUMO!$AP$4:$BB$7,2,FALSE)+5,RESUMO!$AP$1:$BB$4,4,FALSE))))))</f>
        <v>Taifeiro</v>
      </c>
      <c r="C149" s="182"/>
      <c r="D149" s="308">
        <f>HLOOKUP(B149,RESUMO!$AP$4:$BB$7,3,FALSE)</f>
        <v>4</v>
      </c>
      <c r="E149" s="753">
        <f t="shared" si="0"/>
        <v>5792</v>
      </c>
      <c r="F149" s="754"/>
      <c r="G149" s="185">
        <f>VLOOKUP($H$110,RESUMO!$AB$7:$BB$28,HLOOKUP(B149,RESUMO!$AP$4:$BB$7,2,FALSE),FALSE)</f>
        <v>2</v>
      </c>
      <c r="H149" s="167"/>
      <c r="I149" s="168"/>
    </row>
    <row r="150" spans="1:9" ht="15" customHeight="1">
      <c r="A150" s="167"/>
      <c r="B150" s="165" t="str">
        <f>IF(VLOOKUP($H$110,RESUMO!$AB$7:$BB$28,HLOOKUP(B149,RESUMO!$AP$4:$BB$7,2,FALSE)+1,FALSE)&gt;0,HLOOKUP(HLOOKUP(B149,RESUMO!$AP$4:$BB$7,2,FALSE)+1,RESUMO!$AP$1:$BB$4,4,FALSE),IF(VLOOKUP($H$110,RESUMO!$AB$7:$BB$28,HLOOKUP(B149,RESUMO!$AP$4:$BB$7,2,FALSE)+2,FALSE)&gt;0,HLOOKUP(HLOOKUP(B149,RESUMO!$AP$4:$BB$7,2,FALSE)+2,RESUMO!$AP$1:$BB$4,4,FALSE),IF(VLOOKUP($H$110,RESUMO!$AB$7:$BB$28,HLOOKUP(B149,RESUMO!$AP$4:$BB$7,2,FALSE)+3,FALSE)&gt;0,HLOOKUP(HLOOKUP(B149,RESUMO!$AP$4:$BB$7,2,FALSE)+3,RESUMO!$AP$1:$BB$4,4,FALSE),IF(VLOOKUP($H$110,RESUMO!$AB$7:$BB$28,HLOOKUP(B149,RESUMO!$AP$4:$BB$7,2,FALSE)+4,FALSE)&gt;0,HLOOKUP(HLOOKUP(B149,RESUMO!$AP$4:$BB$7,2,FALSE)+4,RESUMO!$AP$1:$BB$4,4,FALSE),IF(VLOOKUP($H$110,RESUMO!$AB$7:$BB$28,HLOOKUP(B149,RESUMO!$AP$4:$BB$7,2,FALSE)+5,FALSE)&gt;0,HLOOKUP(HLOOKUP(B149,RESUMO!$AP$4:$BB$7,2,FALSE)+5,RESUMO!$AP$1:$BB$4,4,FALSE))))))</f>
        <v>Mecânico</v>
      </c>
      <c r="C150" s="182"/>
      <c r="D150" s="308">
        <f>HLOOKUP(B150,RESUMO!$AP$4:$BB$7,3,FALSE)</f>
        <v>7</v>
      </c>
      <c r="E150" s="753">
        <f t="shared" si="0"/>
        <v>10136</v>
      </c>
      <c r="F150" s="754"/>
      <c r="G150" s="185">
        <f>VLOOKUP($H$110,RESUMO!$AB$7:$BB$28,HLOOKUP(B150,RESUMO!$AP$4:$BB$7,2,FALSE),FALSE)</f>
        <v>2</v>
      </c>
      <c r="H150" s="167"/>
      <c r="I150" s="168"/>
    </row>
    <row r="151" spans="1:9" ht="15" customHeight="1">
      <c r="A151" s="167"/>
      <c r="B151" s="165" t="str">
        <f>IF(VLOOKUP($H$110,RESUMO!$AB$7:$BB$28,HLOOKUP(B150,RESUMO!$AP$4:$BB$7,2,FALSE)+1,FALSE)&gt;0,HLOOKUP(HLOOKUP(B150,RESUMO!$AP$4:$BB$7,2,FALSE)+1,RESUMO!$AP$1:$BB$4,4,FALSE),IF(VLOOKUP($H$110,RESUMO!$AB$7:$BB$28,HLOOKUP(B150,RESUMO!$AP$4:$BB$7,2,FALSE)+2,FALSE)&gt;0,HLOOKUP(HLOOKUP(B150,RESUMO!$AP$4:$BB$7,2,FALSE)+2,RESUMO!$AP$1:$BB$4,4,FALSE),IF(VLOOKUP($H$110,RESUMO!$AB$7:$BB$28,HLOOKUP(B150,RESUMO!$AP$4:$BB$7,2,FALSE)+3,FALSE)&gt;0,HLOOKUP(HLOOKUP(B150,RESUMO!$AP$4:$BB$7,2,FALSE)+3,RESUMO!$AP$1:$BB$4,4,FALSE),IF(VLOOKUP($H$110,RESUMO!$AB$7:$BB$28,HLOOKUP(B150,RESUMO!$AP$4:$BB$7,2,FALSE)+4,FALSE)&gt;0,HLOOKUP(HLOOKUP(B150,RESUMO!$AP$4:$BB$7,2,FALSE)+4,RESUMO!$AP$1:$BB$4,4,FALSE),IF(VLOOKUP($H$110,RESUMO!$AB$7:$BB$28,HLOOKUP(B150,RESUMO!$AP$4:$BB$7,2,FALSE)+5,FALSE)&gt;0,HLOOKUP(HLOOKUP(B150,RESUMO!$AP$4:$BB$7,2,FALSE)+5,RESUMO!$AP$1:$BB$4,4,FALSE))))))</f>
        <v>Eletricista</v>
      </c>
      <c r="C151" s="182"/>
      <c r="D151" s="308">
        <f>HLOOKUP(B151,RESUMO!$AP$4:$BB$7,3,FALSE)</f>
        <v>12</v>
      </c>
      <c r="E151" s="753">
        <f t="shared" si="0"/>
        <v>17376</v>
      </c>
      <c r="F151" s="754"/>
      <c r="G151" s="185">
        <f>VLOOKUP($H$110,RESUMO!$AB$7:$BB$28,HLOOKUP(B151,RESUMO!$AP$4:$BB$7,2,FALSE),FALSE)</f>
        <v>2</v>
      </c>
      <c r="H151" s="167"/>
      <c r="I151" s="168"/>
    </row>
    <row r="152" spans="1:9" ht="15" customHeight="1">
      <c r="A152" s="167"/>
      <c r="B152" s="166" t="str">
        <f>IF(VLOOKUP($H$110,RESUMO!$AB$7:$BB$28,HLOOKUP(B151,RESUMO!$AP$4:$BB$7,2,FALSE)+1,FALSE)&gt;0,HLOOKUP(HLOOKUP(B151,RESUMO!$AP$4:$BB$7,2,FALSE)+1,RESUMO!$AP$1:$BB$4,4,FALSE),IF(VLOOKUP($H$110,RESUMO!$AB$7:$BB$28,HLOOKUP(B151,RESUMO!$AP$4:$BB$7,2,FALSE)+2,FALSE)&gt;0,HLOOKUP(HLOOKUP(B151,RESUMO!$AP$4:$BB$7,2,FALSE)+2,RESUMO!$AP$1:$BB$4,4,FALSE),IF(VLOOKUP($H$110,RESUMO!$AB$7:$BB$28,HLOOKUP(B151,RESUMO!$AP$4:$BB$7,2,FALSE)+3,FALSE)&gt;0,HLOOKUP(HLOOKUP(B151,RESUMO!$AP$4:$BB$7,2,FALSE)+3,RESUMO!$AP$1:$BB$4,4,FALSE),IF(VLOOKUP($H$110,RESUMO!$AB$7:$BB$28,HLOOKUP(B151,RESUMO!$AP$4:$BB$7,2,FALSE)+4,FALSE)&gt;0,HLOOKUP(HLOOKUP(B151,RESUMO!$AP$4:$BB$7,2,FALSE)+4,RESUMO!$AP$1:$BB$4,4,FALSE),IF(VLOOKUP($H$110,RESUMO!$AB$7:$BB$28,HLOOKUP(B151,RESUMO!$AP$4:$BB$7,2,FALSE)+5,FALSE)&gt;0,HLOOKUP(HLOOKUP(B151,RESUMO!$AP$4:$BB$7,2,FALSE)+5,RESUMO!$AP$1:$BB$4,4,FALSE))))))</f>
        <v>Soldador</v>
      </c>
      <c r="C152" s="192"/>
      <c r="D152" s="309">
        <f>HLOOKUP(B152,RESUMO!$AP$4:$BB$7,3,FALSE)</f>
        <v>7</v>
      </c>
      <c r="E152" s="755">
        <f t="shared" si="0"/>
        <v>10136</v>
      </c>
      <c r="F152" s="756"/>
      <c r="G152" s="195">
        <f>VLOOKUP($H$110,RESUMO!$AB$7:$BB$28,HLOOKUP(B152,RESUMO!$AP$4:$BB$7,2,FALSE),FALSE)</f>
        <v>2</v>
      </c>
      <c r="H152" s="167"/>
      <c r="I152" s="168"/>
    </row>
    <row r="153" spans="1:9" ht="15" customHeight="1">
      <c r="A153" s="167"/>
      <c r="B153" s="167"/>
      <c r="C153" s="167"/>
      <c r="D153" s="168"/>
      <c r="E153" s="166" t="s">
        <v>60</v>
      </c>
      <c r="F153" s="199"/>
      <c r="G153" s="195">
        <f>SUM(G140:G152)</f>
        <v>25</v>
      </c>
      <c r="H153" s="167"/>
      <c r="I153" s="168"/>
    </row>
    <row r="154" spans="1:9" ht="15" customHeight="1">
      <c r="A154" s="167"/>
      <c r="B154" s="167"/>
      <c r="C154" s="167"/>
      <c r="D154" s="168"/>
      <c r="E154" s="167"/>
      <c r="F154" s="167"/>
      <c r="G154" s="168" t="s">
        <v>61</v>
      </c>
      <c r="H154" s="202">
        <f>SUM(E140:F152)</f>
        <v>180276</v>
      </c>
      <c r="I154" s="168"/>
    </row>
    <row r="155" spans="1:9" ht="15" customHeight="1">
      <c r="A155" s="167"/>
      <c r="B155" s="167"/>
      <c r="C155" s="167"/>
      <c r="D155" s="168"/>
      <c r="E155" s="167"/>
      <c r="F155" s="167"/>
      <c r="G155" s="168"/>
      <c r="H155" s="167"/>
      <c r="I155" s="168"/>
    </row>
    <row r="156" spans="1:9" ht="15" customHeight="1">
      <c r="A156" s="167" t="s">
        <v>62</v>
      </c>
      <c r="B156" s="167"/>
      <c r="C156" s="167"/>
      <c r="D156" s="168"/>
      <c r="E156" s="167"/>
      <c r="F156" s="167"/>
      <c r="G156" s="168"/>
      <c r="H156" s="167"/>
      <c r="I156" s="168"/>
    </row>
    <row r="157" spans="1:9" ht="15" customHeight="1">
      <c r="A157" s="167"/>
      <c r="B157" s="164" t="s">
        <v>63</v>
      </c>
      <c r="C157" s="197"/>
      <c r="D157" s="181" t="s">
        <v>64</v>
      </c>
      <c r="E157" s="743">
        <f>25*G157*H175</f>
        <v>18100</v>
      </c>
      <c r="F157" s="744"/>
      <c r="G157" s="181">
        <v>1</v>
      </c>
      <c r="H157" s="167"/>
      <c r="I157" s="168"/>
    </row>
    <row r="158" spans="1:9" ht="15" customHeight="1">
      <c r="A158" s="167"/>
      <c r="B158" s="165" t="s">
        <v>65</v>
      </c>
      <c r="C158" s="198"/>
      <c r="D158" s="185" t="s">
        <v>47</v>
      </c>
      <c r="E158" s="753">
        <f>12*G158*H175</f>
        <v>8688</v>
      </c>
      <c r="F158" s="754"/>
      <c r="G158" s="185">
        <v>1</v>
      </c>
      <c r="H158" s="167"/>
      <c r="I158" s="168"/>
    </row>
    <row r="159" spans="1:9" ht="15" customHeight="1">
      <c r="A159" s="167"/>
      <c r="B159" s="165" t="s">
        <v>66</v>
      </c>
      <c r="C159" s="198"/>
      <c r="D159" s="185" t="s">
        <v>67</v>
      </c>
      <c r="E159" s="753">
        <f>3*G159*H175</f>
        <v>2172</v>
      </c>
      <c r="F159" s="754"/>
      <c r="G159" s="185">
        <v>1</v>
      </c>
      <c r="H159" s="167"/>
      <c r="I159" s="168"/>
    </row>
    <row r="160" spans="1:9" ht="15" customHeight="1">
      <c r="A160" s="167"/>
      <c r="B160" s="166" t="s">
        <v>68</v>
      </c>
      <c r="C160" s="199"/>
      <c r="D160" s="195" t="s">
        <v>55</v>
      </c>
      <c r="E160" s="755">
        <f>7*G160*H175</f>
        <v>10136</v>
      </c>
      <c r="F160" s="756"/>
      <c r="G160" s="195">
        <v>2</v>
      </c>
      <c r="H160" s="167"/>
      <c r="I160" s="168"/>
    </row>
    <row r="161" spans="1:9" ht="15" customHeight="1">
      <c r="A161" s="167"/>
      <c r="B161" s="167"/>
      <c r="C161" s="167"/>
      <c r="D161" s="167"/>
      <c r="E161" s="200" t="s">
        <v>69</v>
      </c>
      <c r="F161" s="160"/>
      <c r="G161" s="223">
        <f>SUM(G157:G160)</f>
        <v>5</v>
      </c>
      <c r="H161" s="167"/>
      <c r="I161" s="168"/>
    </row>
    <row r="162" spans="1:9" ht="15" customHeight="1">
      <c r="A162" s="167"/>
      <c r="B162" s="167"/>
      <c r="C162" s="167"/>
      <c r="D162" s="167"/>
      <c r="E162" s="167"/>
      <c r="F162" s="167"/>
      <c r="G162" s="168" t="s">
        <v>61</v>
      </c>
      <c r="H162" s="202">
        <f>SUM(E157:F160)</f>
        <v>39096</v>
      </c>
      <c r="I162" s="168"/>
    </row>
    <row r="163" spans="1:9" ht="15" customHeight="1">
      <c r="A163" s="167"/>
      <c r="B163" s="167"/>
      <c r="C163" s="167"/>
      <c r="D163" s="167"/>
      <c r="E163" s="167"/>
      <c r="F163" s="167"/>
      <c r="G163" s="168"/>
      <c r="H163" s="167"/>
      <c r="I163" s="168"/>
    </row>
    <row r="164" spans="1:9" ht="15" customHeight="1">
      <c r="A164" s="167" t="s">
        <v>70</v>
      </c>
      <c r="B164" s="167"/>
      <c r="C164" s="167"/>
      <c r="D164" s="167"/>
      <c r="E164" s="167"/>
      <c r="F164" s="167"/>
      <c r="G164" s="168"/>
      <c r="H164" s="167"/>
      <c r="I164" s="168"/>
    </row>
    <row r="165" spans="1:9" ht="15" customHeight="1">
      <c r="A165" s="167"/>
      <c r="B165" s="167"/>
      <c r="C165" s="167"/>
      <c r="D165" s="167" t="s">
        <v>71</v>
      </c>
      <c r="E165" s="167"/>
      <c r="F165" s="167"/>
      <c r="G165" s="168"/>
      <c r="H165" s="202">
        <f>H154*2</f>
        <v>360552</v>
      </c>
      <c r="I165" s="168"/>
    </row>
    <row r="166" spans="1:9" ht="15" customHeight="1">
      <c r="A166" s="167"/>
      <c r="B166" s="167"/>
      <c r="C166" s="167"/>
      <c r="D166" s="167" t="s">
        <v>72</v>
      </c>
      <c r="E166" s="167"/>
      <c r="F166" s="167"/>
      <c r="G166" s="168"/>
      <c r="H166" s="202">
        <f>H162</f>
        <v>39096</v>
      </c>
      <c r="I166" s="168"/>
    </row>
    <row r="167" spans="1:9" ht="15" customHeight="1">
      <c r="A167" s="167"/>
      <c r="B167" s="167"/>
      <c r="C167" s="167"/>
      <c r="D167" s="167"/>
      <c r="E167" s="167"/>
      <c r="F167" s="167"/>
      <c r="G167" s="168" t="s">
        <v>69</v>
      </c>
      <c r="H167" s="202">
        <f>H165+H166</f>
        <v>399648</v>
      </c>
      <c r="I167" s="168"/>
    </row>
    <row r="168" spans="1:9" ht="15" customHeight="1">
      <c r="A168" s="167"/>
      <c r="B168" s="167"/>
      <c r="C168" s="167"/>
      <c r="D168" s="167"/>
      <c r="E168" s="167"/>
      <c r="F168" s="167"/>
      <c r="G168" s="168"/>
      <c r="H168" s="167"/>
      <c r="I168" s="168"/>
    </row>
    <row r="169" spans="1:9" ht="15" customHeight="1">
      <c r="A169" s="167" t="s">
        <v>73</v>
      </c>
      <c r="B169" s="167"/>
      <c r="C169" s="167"/>
      <c r="E169" s="167"/>
      <c r="F169" s="167"/>
      <c r="G169" s="168"/>
      <c r="I169" s="168"/>
    </row>
    <row r="170" spans="1:9" ht="15" customHeight="1">
      <c r="A170" s="108" t="s">
        <v>193</v>
      </c>
      <c r="B170" s="19"/>
      <c r="C170" s="19"/>
      <c r="D170" s="109"/>
      <c r="E170" s="19"/>
      <c r="G170" s="109">
        <f>RESUMO!B$15</f>
        <v>0.47710000000000002</v>
      </c>
      <c r="H170" s="202">
        <f>H167*G170</f>
        <v>190672.06080000001</v>
      </c>
      <c r="I170" s="168"/>
    </row>
    <row r="171" spans="1:9" ht="15" customHeight="1">
      <c r="A171" s="167"/>
      <c r="B171" s="167"/>
      <c r="C171" s="167"/>
      <c r="D171" s="167"/>
      <c r="E171" s="167"/>
      <c r="F171" s="167"/>
      <c r="G171" s="168"/>
      <c r="H171" s="167"/>
      <c r="I171" s="168"/>
    </row>
    <row r="172" spans="1:9" ht="15" customHeight="1">
      <c r="A172" s="200" t="s">
        <v>74</v>
      </c>
      <c r="B172" s="203"/>
      <c r="C172" s="203"/>
      <c r="D172" s="203"/>
      <c r="E172" s="203"/>
      <c r="F172" s="203"/>
      <c r="G172" s="204"/>
      <c r="H172" s="27">
        <f>SUM(H170,H167)</f>
        <v>590320.06079999998</v>
      </c>
      <c r="I172" s="168"/>
    </row>
    <row r="173" spans="1:9" ht="15" customHeight="1">
      <c r="A173" s="167"/>
      <c r="B173" s="167"/>
      <c r="C173" s="167"/>
      <c r="D173" s="167"/>
      <c r="E173" s="167"/>
      <c r="F173" s="167"/>
      <c r="G173" s="168"/>
      <c r="H173" s="167"/>
      <c r="I173" s="168"/>
    </row>
    <row r="174" spans="1:9" ht="15" customHeight="1">
      <c r="A174" s="167"/>
      <c r="B174" s="167"/>
      <c r="C174" s="167"/>
      <c r="D174" s="167"/>
      <c r="E174" s="167"/>
      <c r="F174" s="167"/>
      <c r="G174" s="168"/>
      <c r="H174" s="167"/>
      <c r="I174" s="168"/>
    </row>
    <row r="175" spans="1:9" ht="15" customHeight="1">
      <c r="A175" s="167"/>
      <c r="B175" s="167"/>
      <c r="C175" s="167"/>
      <c r="D175" s="167"/>
      <c r="E175" s="167" t="s">
        <v>75</v>
      </c>
      <c r="F175" s="167"/>
      <c r="G175" s="168"/>
      <c r="H175" s="205">
        <f>RESUMO!$B$13</f>
        <v>724</v>
      </c>
      <c r="I175" s="168"/>
    </row>
    <row r="176" spans="1:9" ht="15" customHeight="1">
      <c r="A176" s="167"/>
      <c r="B176" s="167"/>
      <c r="C176" s="167"/>
      <c r="D176" s="167"/>
      <c r="E176" s="167"/>
      <c r="F176" s="167"/>
      <c r="G176" s="168"/>
      <c r="H176" s="167"/>
      <c r="I176" s="168"/>
    </row>
    <row r="177" spans="1:9" ht="15" customHeight="1">
      <c r="A177" s="167"/>
      <c r="B177" s="167"/>
      <c r="C177" s="167"/>
      <c r="D177" s="167"/>
      <c r="E177" s="167"/>
      <c r="F177" s="167"/>
      <c r="G177" s="168"/>
      <c r="H177" s="167"/>
      <c r="I177" s="168"/>
    </row>
    <row r="178" spans="1:9" ht="15" customHeight="1">
      <c r="A178" s="167"/>
      <c r="B178" s="167"/>
      <c r="C178" s="167"/>
      <c r="D178" s="167"/>
      <c r="E178" s="167"/>
      <c r="H178" s="167" t="s">
        <v>163</v>
      </c>
      <c r="I178" s="168"/>
    </row>
    <row r="179" spans="1:9" ht="15" customHeight="1">
      <c r="A179" s="89"/>
      <c r="B179" s="54"/>
      <c r="C179" s="54"/>
      <c r="D179" s="54"/>
      <c r="E179" s="54"/>
      <c r="F179" s="54"/>
      <c r="G179" s="54"/>
      <c r="H179" s="52"/>
      <c r="I179" s="52"/>
    </row>
    <row r="180" spans="1:9" ht="15" customHeight="1">
      <c r="A180" s="89"/>
      <c r="B180" s="54"/>
      <c r="C180" s="54"/>
      <c r="D180" s="54"/>
      <c r="E180" s="54"/>
      <c r="F180" s="54"/>
      <c r="G180" s="54"/>
      <c r="H180" s="52"/>
      <c r="I180" s="52"/>
    </row>
    <row r="181" spans="1:9" ht="15" customHeight="1">
      <c r="A181" s="86"/>
      <c r="B181" s="86"/>
      <c r="C181" s="86"/>
      <c r="D181" s="86"/>
      <c r="E181" s="86"/>
      <c r="F181" s="86"/>
      <c r="G181" s="86"/>
      <c r="H181" s="86"/>
      <c r="I181" s="86"/>
    </row>
    <row r="182" spans="1:9" ht="15" customHeight="1">
      <c r="A182" s="51"/>
      <c r="B182" s="51"/>
      <c r="C182" s="51"/>
      <c r="D182" s="51"/>
      <c r="E182" s="51"/>
      <c r="F182" s="51"/>
      <c r="G182" s="51"/>
      <c r="H182" s="51"/>
      <c r="I182" s="51"/>
    </row>
    <row r="183" spans="1:9" ht="15" customHeight="1">
      <c r="A183" s="90"/>
      <c r="B183" s="91"/>
      <c r="C183" s="91"/>
      <c r="D183" s="91"/>
      <c r="E183" s="91"/>
      <c r="F183" s="91"/>
      <c r="G183" s="92"/>
      <c r="H183" s="91"/>
      <c r="I183" s="92"/>
    </row>
    <row r="184" spans="1:9" ht="15" customHeight="1">
      <c r="A184" s="101"/>
      <c r="B184" s="85"/>
      <c r="C184" s="85"/>
      <c r="D184" s="85"/>
      <c r="E184" s="85"/>
      <c r="F184" s="85"/>
      <c r="G184" s="85"/>
      <c r="H184" s="102"/>
      <c r="I184" s="102"/>
    </row>
    <row r="185" spans="1:9" ht="15" customHeight="1">
      <c r="A185" s="98"/>
      <c r="B185" s="84"/>
      <c r="C185" s="84"/>
      <c r="D185" s="84"/>
      <c r="E185" s="84"/>
      <c r="F185" s="84"/>
      <c r="G185" s="84"/>
      <c r="H185" s="99"/>
      <c r="I185" s="99"/>
    </row>
    <row r="186" spans="1:9" ht="15" customHeight="1">
      <c r="A186" s="738" t="s">
        <v>195</v>
      </c>
      <c r="B186" s="738"/>
      <c r="C186" s="738"/>
      <c r="D186" s="738"/>
      <c r="E186" s="738"/>
      <c r="F186" s="738"/>
      <c r="G186" s="738"/>
      <c r="H186" s="738"/>
      <c r="I186" s="738"/>
    </row>
    <row r="187" spans="1:9" ht="15" customHeight="1"/>
    <row r="188" spans="1:9" ht="15" customHeight="1">
      <c r="A188" s="19" t="s">
        <v>120</v>
      </c>
      <c r="B188" s="19"/>
      <c r="C188" s="19"/>
      <c r="D188" s="167"/>
      <c r="E188" s="167"/>
      <c r="F188" s="167"/>
      <c r="G188" s="168"/>
      <c r="H188" s="167"/>
      <c r="I188" s="168"/>
    </row>
    <row r="189" spans="1:9" s="351" customFormat="1" ht="15" customHeight="1">
      <c r="A189" s="360"/>
      <c r="B189" s="360"/>
      <c r="C189" s="360"/>
      <c r="D189" s="352"/>
      <c r="E189" s="352"/>
      <c r="F189" s="352"/>
      <c r="G189" s="374"/>
      <c r="H189" s="352"/>
      <c r="I189" s="374"/>
    </row>
    <row r="190" spans="1:9" ht="15" customHeight="1">
      <c r="A190" s="19" t="s">
        <v>121</v>
      </c>
      <c r="B190" s="19"/>
      <c r="C190" s="19"/>
      <c r="D190" s="19"/>
      <c r="E190" s="167"/>
      <c r="F190" s="167"/>
      <c r="G190" s="168"/>
      <c r="H190" s="167"/>
      <c r="I190" s="168"/>
    </row>
    <row r="191" spans="1:9" s="351" customFormat="1" ht="15" customHeight="1">
      <c r="A191" s="360"/>
      <c r="B191" s="360"/>
      <c r="C191" s="360"/>
      <c r="D191" s="360"/>
      <c r="E191" s="352"/>
      <c r="F191" s="352"/>
      <c r="G191" s="374"/>
      <c r="H191" s="352"/>
      <c r="I191" s="374"/>
    </row>
    <row r="192" spans="1:9" ht="15" customHeight="1">
      <c r="A192" s="745" t="s">
        <v>414</v>
      </c>
      <c r="B192" s="745"/>
      <c r="C192" s="745"/>
      <c r="D192" s="745"/>
      <c r="E192" s="745"/>
      <c r="F192" s="745"/>
      <c r="G192" s="745"/>
      <c r="H192" s="745"/>
      <c r="I192" s="745"/>
    </row>
    <row r="193" spans="1:9" ht="15" customHeight="1">
      <c r="A193" s="745"/>
      <c r="B193" s="745"/>
      <c r="C193" s="745"/>
      <c r="D193" s="745"/>
      <c r="E193" s="745"/>
      <c r="F193" s="745"/>
      <c r="G193" s="745"/>
      <c r="H193" s="745"/>
      <c r="I193" s="745"/>
    </row>
    <row r="194" spans="1:9" ht="15" customHeight="1">
      <c r="A194" s="745"/>
      <c r="B194" s="745"/>
      <c r="C194" s="745"/>
      <c r="D194" s="745"/>
      <c r="E194" s="745"/>
      <c r="F194" s="745"/>
      <c r="G194" s="745"/>
      <c r="H194" s="745"/>
      <c r="I194" s="745"/>
    </row>
    <row r="195" spans="1:9" ht="15" customHeight="1">
      <c r="A195" s="745"/>
      <c r="B195" s="745"/>
      <c r="C195" s="745"/>
      <c r="D195" s="745"/>
      <c r="E195" s="745"/>
      <c r="F195" s="745"/>
      <c r="G195" s="745"/>
      <c r="H195" s="745"/>
      <c r="I195" s="745"/>
    </row>
    <row r="196" spans="1:9" ht="15" customHeight="1">
      <c r="A196" s="386" t="s">
        <v>415</v>
      </c>
      <c r="B196" s="167"/>
      <c r="C196" s="167"/>
      <c r="D196" s="167"/>
      <c r="E196" s="167"/>
      <c r="F196" s="167"/>
      <c r="G196" s="168"/>
      <c r="H196" s="167"/>
      <c r="I196" s="168"/>
    </row>
    <row r="197" spans="1:9" ht="15" customHeight="1">
      <c r="A197" s="167"/>
      <c r="B197" s="167"/>
      <c r="C197" s="167"/>
      <c r="D197" s="167"/>
      <c r="E197" s="167"/>
      <c r="F197" s="167"/>
      <c r="G197" s="168"/>
      <c r="H197" s="167"/>
      <c r="I197" s="168"/>
    </row>
    <row r="198" spans="1:9" ht="15" customHeight="1">
      <c r="A198" s="19" t="s">
        <v>122</v>
      </c>
      <c r="B198" s="19"/>
      <c r="C198" s="167"/>
      <c r="D198" s="167"/>
      <c r="E198" s="167"/>
      <c r="F198" s="167"/>
      <c r="G198" s="168"/>
      <c r="H198" s="167"/>
      <c r="I198" s="168"/>
    </row>
    <row r="199" spans="1:9" s="351" customFormat="1" ht="15" customHeight="1">
      <c r="A199" s="360"/>
      <c r="B199" s="360"/>
      <c r="C199" s="352"/>
      <c r="D199" s="352"/>
      <c r="E199" s="352"/>
      <c r="F199" s="352"/>
      <c r="G199" s="374"/>
      <c r="H199" s="352"/>
      <c r="I199" s="374"/>
    </row>
    <row r="200" spans="1:9" ht="15" customHeight="1">
      <c r="A200" s="167" t="s">
        <v>366</v>
      </c>
      <c r="B200" s="167"/>
      <c r="C200" s="167"/>
      <c r="D200" s="167"/>
      <c r="E200" s="167"/>
      <c r="F200" s="167"/>
      <c r="G200" s="168"/>
      <c r="H200" s="167"/>
      <c r="I200" s="168"/>
    </row>
    <row r="201" spans="1:9" ht="15" customHeight="1">
      <c r="A201" s="167" t="s">
        <v>411</v>
      </c>
      <c r="B201" s="167"/>
      <c r="C201" s="167"/>
      <c r="D201" s="167"/>
      <c r="E201" s="167"/>
      <c r="F201" s="167"/>
      <c r="G201" s="168"/>
      <c r="H201" s="167"/>
      <c r="I201" s="168"/>
    </row>
    <row r="202" spans="1:9" ht="15" customHeight="1">
      <c r="A202" s="167" t="s">
        <v>413</v>
      </c>
      <c r="B202" s="167"/>
      <c r="C202" s="167"/>
      <c r="D202" s="167"/>
      <c r="E202" s="167"/>
      <c r="F202" s="167"/>
      <c r="G202" s="168"/>
      <c r="H202" s="167"/>
      <c r="I202" s="168"/>
    </row>
    <row r="203" spans="1:9" ht="15" customHeight="1">
      <c r="A203" s="167"/>
      <c r="B203" s="167"/>
      <c r="C203" s="167"/>
      <c r="D203" s="167"/>
      <c r="E203" s="167"/>
      <c r="F203" s="167"/>
      <c r="G203" s="168"/>
      <c r="H203" s="167"/>
      <c r="I203" s="168"/>
    </row>
    <row r="204" spans="1:9" ht="15" customHeight="1">
      <c r="A204" s="19" t="s">
        <v>123</v>
      </c>
      <c r="B204" s="19"/>
      <c r="C204" s="19"/>
      <c r="D204" s="167"/>
      <c r="E204" s="167"/>
      <c r="F204" s="167"/>
      <c r="G204" s="168"/>
      <c r="H204" s="167"/>
      <c r="I204" s="168"/>
    </row>
    <row r="205" spans="1:9" s="351" customFormat="1" ht="15" customHeight="1">
      <c r="A205" s="360"/>
      <c r="B205" s="360"/>
      <c r="C205" s="360"/>
      <c r="D205" s="352"/>
      <c r="E205" s="352"/>
      <c r="F205" s="352"/>
      <c r="G205" s="374"/>
      <c r="H205" s="352"/>
      <c r="I205" s="374"/>
    </row>
    <row r="206" spans="1:9" ht="15" customHeight="1">
      <c r="A206" s="167" t="s">
        <v>124</v>
      </c>
      <c r="B206" s="167"/>
      <c r="C206" s="167"/>
      <c r="D206" s="167"/>
      <c r="E206" s="167"/>
      <c r="F206" s="167"/>
      <c r="G206" s="168"/>
      <c r="H206" s="167"/>
      <c r="I206" s="168"/>
    </row>
    <row r="207" spans="1:9" ht="15" customHeight="1">
      <c r="A207" s="167" t="s">
        <v>125</v>
      </c>
      <c r="B207" s="167"/>
      <c r="C207" s="167"/>
      <c r="D207" s="167"/>
      <c r="E207" s="167"/>
      <c r="F207" s="167"/>
      <c r="G207" s="168"/>
      <c r="H207" s="167"/>
      <c r="I207" s="168"/>
    </row>
    <row r="208" spans="1:9" ht="15" customHeight="1">
      <c r="A208" s="167" t="s">
        <v>126</v>
      </c>
      <c r="B208" s="167"/>
      <c r="C208" s="167"/>
      <c r="D208" s="167"/>
      <c r="E208" s="167"/>
      <c r="F208" s="167"/>
      <c r="G208" s="168"/>
      <c r="H208" s="167"/>
      <c r="I208" s="168"/>
    </row>
    <row r="209" spans="1:9" ht="15" customHeight="1">
      <c r="A209" s="167" t="s">
        <v>127</v>
      </c>
      <c r="B209" s="167"/>
      <c r="C209" s="167"/>
      <c r="D209" s="167"/>
      <c r="E209" s="167"/>
      <c r="F209" s="167"/>
      <c r="G209" s="168"/>
      <c r="H209" s="167"/>
      <c r="I209" s="168"/>
    </row>
    <row r="210" spans="1:9" ht="15" customHeight="1">
      <c r="A210" s="167" t="s">
        <v>162</v>
      </c>
      <c r="B210" s="167"/>
      <c r="C210" s="167"/>
      <c r="D210" s="167"/>
      <c r="E210" s="167"/>
      <c r="F210" s="167"/>
      <c r="G210" s="168"/>
      <c r="H210" s="167"/>
      <c r="I210" s="168"/>
    </row>
    <row r="211" spans="1:9" ht="15" customHeight="1">
      <c r="A211" s="167"/>
      <c r="B211" s="167"/>
      <c r="C211" s="167"/>
      <c r="D211" s="167"/>
      <c r="E211" s="167"/>
      <c r="F211" s="167"/>
      <c r="G211" s="168"/>
      <c r="H211" s="167"/>
      <c r="I211" s="168"/>
    </row>
    <row r="212" spans="1:9" ht="15" customHeight="1">
      <c r="A212" s="19" t="s">
        <v>128</v>
      </c>
      <c r="B212" s="19"/>
      <c r="C212" s="19"/>
      <c r="D212" s="19"/>
      <c r="E212" s="19"/>
      <c r="F212" s="167"/>
      <c r="G212" s="168"/>
      <c r="H212" s="167"/>
      <c r="I212" s="168"/>
    </row>
    <row r="213" spans="1:9" s="351" customFormat="1" ht="15" customHeight="1">
      <c r="A213" s="360"/>
      <c r="B213" s="360"/>
      <c r="C213" s="360"/>
      <c r="D213" s="360"/>
      <c r="E213" s="360"/>
      <c r="F213" s="352"/>
      <c r="G213" s="374"/>
      <c r="H213" s="352"/>
      <c r="I213" s="374"/>
    </row>
    <row r="214" spans="1:9" ht="15" customHeight="1">
      <c r="A214" s="167" t="s">
        <v>129</v>
      </c>
      <c r="B214" s="167"/>
      <c r="C214" s="167"/>
      <c r="D214" s="167"/>
      <c r="E214" s="167"/>
      <c r="F214" s="167"/>
      <c r="G214" s="168"/>
      <c r="H214" s="167"/>
      <c r="I214" s="168"/>
    </row>
    <row r="215" spans="1:9" ht="15" customHeight="1">
      <c r="A215" s="167" t="s">
        <v>130</v>
      </c>
      <c r="B215" s="167"/>
      <c r="C215" s="167"/>
      <c r="D215" s="167"/>
      <c r="E215" s="167"/>
      <c r="F215" s="167"/>
      <c r="G215" s="168"/>
      <c r="H215" s="167"/>
      <c r="I215" s="168"/>
    </row>
    <row r="216" spans="1:9" ht="15" customHeight="1">
      <c r="A216" s="167" t="s">
        <v>131</v>
      </c>
      <c r="B216" s="167"/>
      <c r="C216" s="167"/>
      <c r="D216" s="167"/>
      <c r="E216" s="167"/>
      <c r="F216" s="167"/>
      <c r="G216" s="168"/>
      <c r="H216" s="167"/>
      <c r="I216" s="168"/>
    </row>
    <row r="217" spans="1:9" ht="15" customHeight="1">
      <c r="A217" s="167" t="s">
        <v>132</v>
      </c>
      <c r="B217" s="167"/>
      <c r="C217" s="167"/>
      <c r="D217" s="167"/>
      <c r="E217" s="167"/>
      <c r="F217" s="167"/>
      <c r="G217" s="168"/>
      <c r="H217" s="167"/>
      <c r="I217" s="168"/>
    </row>
    <row r="218" spans="1:9" ht="15" customHeight="1">
      <c r="A218" s="167"/>
      <c r="B218" s="167"/>
      <c r="C218" s="167"/>
      <c r="D218" s="167"/>
      <c r="E218" s="167"/>
      <c r="F218" s="167"/>
      <c r="G218" s="168"/>
      <c r="H218" s="167"/>
      <c r="I218" s="168"/>
    </row>
    <row r="219" spans="1:9" ht="15" customHeight="1">
      <c r="A219" s="19" t="s">
        <v>133</v>
      </c>
      <c r="B219" s="19"/>
      <c r="C219" s="19"/>
      <c r="D219" s="19"/>
      <c r="E219" s="19"/>
      <c r="F219" s="167"/>
      <c r="G219" s="168"/>
      <c r="H219" s="167"/>
      <c r="I219" s="168"/>
    </row>
    <row r="220" spans="1:9" s="351" customFormat="1" ht="15" customHeight="1">
      <c r="A220" s="360"/>
      <c r="B220" s="360"/>
      <c r="C220" s="360"/>
      <c r="D220" s="360"/>
      <c r="E220" s="360"/>
      <c r="F220" s="352"/>
      <c r="G220" s="374"/>
      <c r="H220" s="352"/>
      <c r="I220" s="374"/>
    </row>
    <row r="221" spans="1:9" ht="15" customHeight="1">
      <c r="A221" s="167" t="s">
        <v>134</v>
      </c>
      <c r="B221" s="167"/>
      <c r="C221" s="167"/>
      <c r="D221" s="167"/>
      <c r="E221" s="167"/>
      <c r="F221" s="167"/>
      <c r="G221" s="168"/>
      <c r="H221" s="167"/>
      <c r="I221" s="168"/>
    </row>
    <row r="222" spans="1:9" ht="15" customHeight="1">
      <c r="A222" s="167" t="s">
        <v>140</v>
      </c>
      <c r="B222" s="167"/>
      <c r="C222" s="167"/>
      <c r="D222" s="167"/>
      <c r="E222" s="167"/>
      <c r="F222" s="167"/>
      <c r="G222" s="168"/>
      <c r="H222" s="167"/>
      <c r="I222" s="168"/>
    </row>
    <row r="223" spans="1:9" ht="15" customHeight="1">
      <c r="A223" s="167" t="s">
        <v>135</v>
      </c>
      <c r="B223" s="167"/>
      <c r="C223" s="167"/>
      <c r="D223" s="167"/>
      <c r="E223" s="167"/>
      <c r="F223" s="167"/>
      <c r="G223" s="168"/>
      <c r="H223" s="167"/>
      <c r="I223" s="168"/>
    </row>
    <row r="224" spans="1:9" ht="15" customHeight="1">
      <c r="A224" s="167" t="s">
        <v>136</v>
      </c>
      <c r="B224" s="167"/>
      <c r="C224" s="167"/>
      <c r="D224" s="167"/>
      <c r="E224" s="167"/>
      <c r="F224" s="167"/>
      <c r="G224" s="168"/>
      <c r="H224" s="167"/>
      <c r="I224" s="168"/>
    </row>
    <row r="225" spans="1:9" ht="15" customHeight="1">
      <c r="A225" s="167" t="s">
        <v>160</v>
      </c>
      <c r="B225" s="167"/>
      <c r="C225" s="167"/>
      <c r="D225" s="167"/>
      <c r="E225" s="167"/>
      <c r="F225" s="167"/>
      <c r="G225" s="168"/>
      <c r="H225" s="167"/>
      <c r="I225" s="168"/>
    </row>
    <row r="226" spans="1:9" ht="15" customHeight="1">
      <c r="A226" s="167" t="s">
        <v>137</v>
      </c>
      <c r="B226" s="167"/>
      <c r="C226" s="167"/>
      <c r="D226" s="167"/>
      <c r="E226" s="167"/>
      <c r="F226" s="167"/>
      <c r="G226" s="168"/>
      <c r="H226" s="167"/>
      <c r="I226" s="168"/>
    </row>
    <row r="227" spans="1:9" ht="15" customHeight="1">
      <c r="A227" s="167" t="s">
        <v>138</v>
      </c>
      <c r="B227" s="167"/>
      <c r="C227" s="167"/>
      <c r="D227" s="167"/>
      <c r="E227" s="167"/>
      <c r="F227" s="167"/>
      <c r="G227" s="168"/>
      <c r="H227" s="167"/>
      <c r="I227" s="168"/>
    </row>
    <row r="228" spans="1:9" ht="15" customHeight="1">
      <c r="A228" s="167" t="s">
        <v>139</v>
      </c>
      <c r="B228" s="167"/>
      <c r="C228" s="167"/>
      <c r="D228" s="167"/>
      <c r="E228" s="167"/>
      <c r="F228" s="167"/>
      <c r="G228" s="168"/>
      <c r="H228" s="167"/>
      <c r="I228" s="168"/>
    </row>
    <row r="229" spans="1:9" ht="15" customHeight="1">
      <c r="A229" s="167"/>
      <c r="B229" s="167"/>
      <c r="C229" s="167"/>
      <c r="D229" s="167"/>
      <c r="E229" s="167"/>
      <c r="F229" s="167"/>
      <c r="G229" s="168"/>
      <c r="H229" s="167"/>
      <c r="I229" s="168"/>
    </row>
    <row r="230" spans="1:9" ht="15" customHeight="1">
      <c r="A230" s="360" t="s">
        <v>410</v>
      </c>
      <c r="B230" s="352"/>
      <c r="C230" s="352"/>
      <c r="D230" s="352"/>
      <c r="E230" s="352"/>
      <c r="F230" s="352"/>
      <c r="G230" s="374"/>
      <c r="H230" s="352"/>
      <c r="I230" s="374"/>
    </row>
    <row r="231" spans="1:9" ht="15" customHeight="1">
      <c r="G231"/>
      <c r="I231"/>
    </row>
    <row r="232" spans="1:9" ht="15" customHeight="1">
      <c r="A232" s="745" t="s">
        <v>509</v>
      </c>
      <c r="B232" s="745"/>
      <c r="C232" s="745"/>
      <c r="D232" s="745"/>
      <c r="E232" s="745"/>
      <c r="F232" s="745"/>
      <c r="G232" s="745"/>
      <c r="H232" s="745"/>
      <c r="I232" s="745"/>
    </row>
    <row r="233" spans="1:9" ht="15" customHeight="1">
      <c r="A233" s="745"/>
      <c r="B233" s="745"/>
      <c r="C233" s="745"/>
      <c r="D233" s="745"/>
      <c r="E233" s="745"/>
      <c r="F233" s="745"/>
      <c r="G233" s="745"/>
      <c r="H233" s="745"/>
      <c r="I233" s="745"/>
    </row>
    <row r="234" spans="1:9" ht="15" customHeight="1">
      <c r="A234" s="375"/>
      <c r="B234" s="375"/>
      <c r="C234" s="375"/>
      <c r="D234" s="375"/>
      <c r="E234" s="375"/>
      <c r="F234" s="375"/>
      <c r="G234" s="375"/>
      <c r="H234" s="375"/>
      <c r="I234" s="375"/>
    </row>
    <row r="235" spans="1:9" ht="15" customHeight="1">
      <c r="A235" s="167"/>
      <c r="B235" s="167"/>
      <c r="C235" s="167"/>
      <c r="D235" s="167"/>
      <c r="E235" s="167"/>
      <c r="F235" s="167"/>
      <c r="G235" s="168"/>
      <c r="H235" s="167"/>
      <c r="I235" s="168"/>
    </row>
    <row r="236" spans="1:9" ht="15" customHeight="1">
      <c r="A236" s="738" t="s">
        <v>195</v>
      </c>
      <c r="B236" s="738"/>
      <c r="C236" s="738"/>
      <c r="D236" s="738"/>
      <c r="E236" s="738"/>
      <c r="F236" s="738"/>
      <c r="G236" s="738"/>
      <c r="H236" s="738"/>
      <c r="I236" s="738"/>
    </row>
    <row r="237" spans="1:9" ht="15" customHeight="1"/>
    <row r="238" spans="1:9" ht="15" customHeight="1">
      <c r="A238" s="167"/>
      <c r="B238" s="167"/>
      <c r="C238" s="167"/>
      <c r="D238" s="167"/>
      <c r="E238" s="167"/>
      <c r="F238" s="167"/>
      <c r="G238" s="168"/>
      <c r="H238" s="167"/>
      <c r="I238" s="168"/>
    </row>
    <row r="239" spans="1:9" ht="15" customHeight="1">
      <c r="A239" s="164"/>
      <c r="B239" s="178"/>
      <c r="C239" s="178"/>
      <c r="D239" s="178"/>
      <c r="E239" s="178"/>
      <c r="F239" s="178"/>
      <c r="G239" s="179"/>
      <c r="H239" s="226"/>
      <c r="I239" s="181"/>
    </row>
    <row r="240" spans="1:9" ht="15" customHeight="1">
      <c r="A240" s="4" t="s">
        <v>20</v>
      </c>
      <c r="B240" s="5"/>
      <c r="C240" s="5"/>
      <c r="D240" s="5"/>
      <c r="E240" s="5"/>
      <c r="F240" s="60"/>
      <c r="G240" s="6"/>
      <c r="H240" s="12">
        <f>H110</f>
        <v>11000</v>
      </c>
      <c r="I240" s="185" t="s">
        <v>13</v>
      </c>
    </row>
    <row r="241" spans="1:9" ht="15" customHeight="1">
      <c r="A241" s="165" t="s">
        <v>29</v>
      </c>
      <c r="B241" s="182"/>
      <c r="C241" s="182"/>
      <c r="D241" s="182"/>
      <c r="E241" s="182"/>
      <c r="F241" s="381"/>
      <c r="G241" s="183"/>
      <c r="H241" s="13">
        <f>H240</f>
        <v>11000</v>
      </c>
      <c r="I241" s="185" t="s">
        <v>13</v>
      </c>
    </row>
    <row r="242" spans="1:9" ht="15" customHeight="1">
      <c r="A242" s="165" t="s">
        <v>0</v>
      </c>
      <c r="B242" s="182"/>
      <c r="C242" s="182"/>
      <c r="D242" s="182"/>
      <c r="F242" s="424">
        <v>0.75</v>
      </c>
      <c r="G242" s="172"/>
      <c r="H242" s="380">
        <f>F242</f>
        <v>0.75</v>
      </c>
      <c r="I242" s="185" t="s">
        <v>95</v>
      </c>
    </row>
    <row r="243" spans="1:9" ht="15" customHeight="1">
      <c r="A243" s="165" t="s">
        <v>1</v>
      </c>
      <c r="B243" s="182"/>
      <c r="C243" s="182"/>
      <c r="D243" s="182"/>
      <c r="F243" s="427">
        <v>0.17499999999999999</v>
      </c>
      <c r="G243" s="172"/>
      <c r="H243" s="209">
        <f>1/(1+F243)</f>
        <v>0.85106382978723405</v>
      </c>
      <c r="I243" s="185" t="s">
        <v>95</v>
      </c>
    </row>
    <row r="244" spans="1:9" ht="15" customHeight="1">
      <c r="A244" s="165" t="s">
        <v>19</v>
      </c>
      <c r="B244" s="182"/>
      <c r="C244" s="182"/>
      <c r="D244" s="182"/>
      <c r="E244" s="182"/>
      <c r="F244" s="424"/>
      <c r="G244" s="183"/>
      <c r="H244" s="15">
        <f>(H241*H242)*H243</f>
        <v>7021.2765957446809</v>
      </c>
      <c r="I244" s="185" t="s">
        <v>13</v>
      </c>
    </row>
    <row r="245" spans="1:9" ht="15" customHeight="1">
      <c r="A245" s="165"/>
      <c r="B245" s="182"/>
      <c r="C245" s="182"/>
      <c r="D245" s="182"/>
      <c r="E245" s="182"/>
      <c r="F245" s="182"/>
      <c r="G245" s="183"/>
      <c r="H245" s="184"/>
      <c r="I245" s="185"/>
    </row>
    <row r="246" spans="1:9" ht="15" customHeight="1">
      <c r="A246" s="165" t="s">
        <v>2</v>
      </c>
      <c r="B246" s="182"/>
      <c r="C246" s="182"/>
      <c r="D246" s="182"/>
      <c r="E246" s="182"/>
      <c r="F246" s="182"/>
      <c r="G246" s="183"/>
      <c r="H246" s="184"/>
      <c r="I246" s="185"/>
    </row>
    <row r="247" spans="1:9" ht="15" customHeight="1">
      <c r="A247" s="165" t="s">
        <v>3</v>
      </c>
      <c r="B247" s="182"/>
      <c r="C247" s="182"/>
      <c r="D247" s="182"/>
      <c r="E247" s="182"/>
      <c r="F247" s="182"/>
      <c r="G247" s="183"/>
      <c r="H247" s="228">
        <f>H114</f>
        <v>7.6</v>
      </c>
      <c r="I247" s="185" t="s">
        <v>4</v>
      </c>
    </row>
    <row r="248" spans="1:9" ht="15" customHeight="1">
      <c r="A248" s="165" t="s">
        <v>7</v>
      </c>
      <c r="B248" s="182"/>
      <c r="C248" s="182"/>
      <c r="D248" s="182"/>
      <c r="E248" s="182"/>
      <c r="F248" s="182"/>
      <c r="G248" s="183"/>
      <c r="H248" s="184">
        <f>H112</f>
        <v>10</v>
      </c>
      <c r="I248" s="185" t="s">
        <v>14</v>
      </c>
    </row>
    <row r="249" spans="1:9" ht="15" customHeight="1">
      <c r="A249" s="165" t="s">
        <v>9</v>
      </c>
      <c r="B249" s="182"/>
      <c r="C249" s="182"/>
      <c r="D249" s="182"/>
      <c r="E249" s="182"/>
      <c r="F249" s="182"/>
      <c r="G249" s="183"/>
      <c r="H249" s="64">
        <f>H247/H248*2</f>
        <v>1.52</v>
      </c>
      <c r="I249" s="185" t="s">
        <v>15</v>
      </c>
    </row>
    <row r="250" spans="1:9" ht="15" customHeight="1">
      <c r="A250" s="165" t="s">
        <v>6</v>
      </c>
      <c r="B250" s="182"/>
      <c r="C250" s="182"/>
      <c r="D250" s="182"/>
      <c r="E250" s="182"/>
      <c r="F250" s="7"/>
      <c r="G250" s="172"/>
      <c r="H250" s="229">
        <v>1</v>
      </c>
      <c r="I250" s="185" t="s">
        <v>15</v>
      </c>
    </row>
    <row r="251" spans="1:9" ht="15" customHeight="1">
      <c r="A251" s="165" t="s">
        <v>12</v>
      </c>
      <c r="B251" s="182"/>
      <c r="C251" s="182"/>
      <c r="D251" s="182"/>
      <c r="E251" s="182"/>
      <c r="F251" s="7"/>
      <c r="G251" s="172"/>
      <c r="H251" s="184">
        <v>0.2</v>
      </c>
      <c r="I251" s="185" t="s">
        <v>15</v>
      </c>
    </row>
    <row r="252" spans="1:9" ht="15" customHeight="1">
      <c r="A252" s="165" t="s">
        <v>8</v>
      </c>
      <c r="B252" s="182"/>
      <c r="C252" s="182"/>
      <c r="D252" s="182"/>
      <c r="E252" s="182"/>
      <c r="F252" s="182"/>
      <c r="G252" s="172"/>
      <c r="H252" s="46">
        <f>SUM(H249:H250:H251)</f>
        <v>2.72</v>
      </c>
      <c r="I252" s="185" t="s">
        <v>15</v>
      </c>
    </row>
    <row r="253" spans="1:9" ht="15" customHeight="1">
      <c r="A253" s="165"/>
      <c r="B253" s="182"/>
      <c r="C253" s="182"/>
      <c r="D253" s="182"/>
      <c r="E253" s="182"/>
      <c r="F253" s="182"/>
      <c r="G253" s="172"/>
      <c r="H253" s="184"/>
      <c r="I253" s="185"/>
    </row>
    <row r="254" spans="1:9" ht="15" customHeight="1">
      <c r="A254" s="165" t="s">
        <v>10</v>
      </c>
      <c r="B254" s="182"/>
      <c r="C254" s="182"/>
      <c r="D254" s="182"/>
      <c r="E254" s="182"/>
      <c r="F254" s="7"/>
      <c r="G254" s="172"/>
      <c r="H254" s="184">
        <v>576</v>
      </c>
      <c r="I254" s="185" t="s">
        <v>16</v>
      </c>
    </row>
    <row r="255" spans="1:9" ht="15" customHeight="1">
      <c r="A255" s="165"/>
      <c r="B255" s="182"/>
      <c r="C255" s="182"/>
      <c r="D255" s="182"/>
      <c r="E255" s="182"/>
      <c r="F255" s="182"/>
      <c r="G255" s="183"/>
      <c r="H255" s="184"/>
      <c r="I255" s="185"/>
    </row>
    <row r="256" spans="1:9" ht="15" customHeight="1">
      <c r="A256" s="165" t="s">
        <v>11</v>
      </c>
      <c r="B256" s="182"/>
      <c r="C256" s="182"/>
      <c r="D256" s="182"/>
      <c r="E256" s="182"/>
      <c r="F256" s="182"/>
      <c r="G256" s="183"/>
      <c r="H256" s="14">
        <f>H254/H252</f>
        <v>211.76470588235293</v>
      </c>
      <c r="I256" s="185" t="s">
        <v>17</v>
      </c>
    </row>
    <row r="257" spans="1:9" ht="15" customHeight="1">
      <c r="A257" s="353"/>
      <c r="B257" s="354"/>
      <c r="C257" s="354"/>
      <c r="D257" s="354"/>
      <c r="E257" s="354"/>
      <c r="F257" s="354"/>
      <c r="G257" s="413"/>
      <c r="H257" s="184"/>
      <c r="I257" s="356"/>
    </row>
    <row r="258" spans="1:9" ht="15" customHeight="1">
      <c r="A258" s="165" t="s">
        <v>407</v>
      </c>
      <c r="B258" s="182"/>
      <c r="C258" s="182"/>
      <c r="D258" s="182"/>
      <c r="E258" s="182"/>
      <c r="F258" s="182"/>
      <c r="G258" s="183"/>
      <c r="H258" s="414">
        <f>H244*H256</f>
        <v>1486858.5732165205</v>
      </c>
      <c r="I258" s="185" t="s">
        <v>18</v>
      </c>
    </row>
    <row r="259" spans="1:9" ht="15" customHeight="1">
      <c r="A259" s="166"/>
      <c r="B259" s="192"/>
      <c r="C259" s="192"/>
      <c r="D259" s="192"/>
      <c r="E259" s="192"/>
      <c r="F259" s="192"/>
      <c r="G259" s="193"/>
      <c r="H259" s="230"/>
      <c r="I259" s="195"/>
    </row>
    <row r="260" spans="1:9" ht="15" customHeight="1">
      <c r="A260" s="53"/>
      <c r="B260" s="54"/>
      <c r="C260" s="54"/>
      <c r="D260" s="54"/>
      <c r="E260" s="54"/>
      <c r="F260" s="54"/>
      <c r="G260" s="54"/>
      <c r="H260" s="52"/>
      <c r="I260" s="52"/>
    </row>
    <row r="261" spans="1:9" ht="15" customHeight="1">
      <c r="A261" s="53"/>
      <c r="B261" s="54"/>
      <c r="C261" s="54"/>
      <c r="D261" s="54"/>
      <c r="E261" s="54"/>
      <c r="F261" s="54"/>
      <c r="G261" s="54"/>
      <c r="H261" s="52"/>
      <c r="I261" s="52"/>
    </row>
    <row r="262" spans="1:9" ht="15" customHeight="1">
      <c r="A262" s="53"/>
      <c r="B262" s="54"/>
      <c r="C262" s="54"/>
      <c r="D262" s="54"/>
      <c r="E262" s="54"/>
      <c r="F262" s="54"/>
      <c r="G262" s="54"/>
      <c r="H262" s="52"/>
      <c r="I262" s="52"/>
    </row>
    <row r="263" spans="1:9" ht="15" customHeight="1">
      <c r="G263"/>
      <c r="I263"/>
    </row>
    <row r="264" spans="1:9" ht="15" customHeight="1">
      <c r="G264"/>
      <c r="I264"/>
    </row>
    <row r="265" spans="1:9" ht="15" customHeight="1">
      <c r="G265"/>
      <c r="I265"/>
    </row>
    <row r="266" spans="1:9" ht="15" customHeight="1">
      <c r="G266"/>
      <c r="I266"/>
    </row>
    <row r="267" spans="1:9" ht="15" customHeight="1">
      <c r="A267" s="53"/>
      <c r="B267" s="54"/>
      <c r="C267" s="54"/>
      <c r="D267" s="54"/>
      <c r="E267" s="54"/>
      <c r="F267" s="54"/>
      <c r="G267" s="54"/>
      <c r="H267" s="52"/>
      <c r="I267" s="52"/>
    </row>
    <row r="268" spans="1:9" ht="15" customHeight="1">
      <c r="A268" s="53"/>
      <c r="B268" s="54"/>
      <c r="C268" s="54"/>
      <c r="D268" s="54"/>
      <c r="E268" s="54"/>
      <c r="F268" s="54"/>
      <c r="G268" s="54"/>
      <c r="H268" s="52"/>
      <c r="I268" s="52"/>
    </row>
    <row r="269" spans="1:9" ht="15" customHeight="1">
      <c r="A269" s="53"/>
      <c r="B269" s="54"/>
      <c r="C269" s="54"/>
      <c r="D269" s="54"/>
      <c r="E269" s="54"/>
      <c r="F269" s="54"/>
      <c r="G269" s="54"/>
      <c r="H269" s="52"/>
      <c r="I269" s="52"/>
    </row>
    <row r="270" spans="1:9" ht="15" customHeight="1">
      <c r="A270" s="53"/>
      <c r="B270" s="54"/>
      <c r="C270" s="54"/>
      <c r="D270" s="54"/>
      <c r="E270" s="54"/>
      <c r="F270" s="54"/>
      <c r="G270" s="54"/>
      <c r="H270" s="52"/>
      <c r="I270" s="52"/>
    </row>
    <row r="271" spans="1:9" ht="15" customHeight="1">
      <c r="A271" s="53"/>
      <c r="B271" s="54"/>
      <c r="C271" s="54"/>
      <c r="D271" s="54"/>
      <c r="E271" s="54"/>
      <c r="F271" s="54"/>
      <c r="G271" s="54"/>
      <c r="H271" s="52"/>
      <c r="I271" s="52"/>
    </row>
    <row r="272" spans="1:9" ht="15" customHeight="1">
      <c r="A272" s="53"/>
      <c r="B272" s="54"/>
      <c r="C272" s="54"/>
      <c r="D272" s="54"/>
      <c r="E272" s="54"/>
      <c r="F272" s="54"/>
      <c r="G272" s="54"/>
      <c r="H272" s="52"/>
      <c r="I272" s="52"/>
    </row>
    <row r="273" spans="1:9" ht="15" customHeight="1">
      <c r="A273" s="53"/>
      <c r="B273" s="54"/>
      <c r="C273" s="54"/>
      <c r="D273" s="54"/>
      <c r="E273" s="54"/>
      <c r="F273" s="54"/>
      <c r="G273" s="54"/>
      <c r="H273" s="52"/>
      <c r="I273" s="52"/>
    </row>
    <row r="274" spans="1:9" ht="15" customHeight="1">
      <c r="A274" s="53"/>
      <c r="B274" s="54"/>
      <c r="C274" s="54"/>
      <c r="D274" s="54"/>
      <c r="E274" s="54"/>
      <c r="F274" s="54"/>
      <c r="G274" s="54"/>
      <c r="H274" s="52"/>
      <c r="I274" s="52"/>
    </row>
    <row r="275" spans="1:9" ht="15" customHeight="1">
      <c r="A275" s="53"/>
      <c r="B275" s="54"/>
      <c r="C275" s="54"/>
      <c r="D275" s="54"/>
      <c r="E275" s="54"/>
      <c r="F275" s="54"/>
      <c r="G275" s="54"/>
      <c r="H275" s="52"/>
      <c r="I275" s="52"/>
    </row>
    <row r="276" spans="1:9" ht="15" customHeight="1">
      <c r="A276" s="53"/>
      <c r="B276" s="54"/>
      <c r="C276" s="54"/>
      <c r="D276" s="54"/>
      <c r="E276" s="54"/>
      <c r="F276" s="54"/>
      <c r="G276" s="54"/>
      <c r="H276" s="52"/>
      <c r="I276" s="52"/>
    </row>
    <row r="277" spans="1:9" ht="15" customHeight="1">
      <c r="A277" s="53"/>
      <c r="B277" s="54"/>
      <c r="C277" s="54"/>
      <c r="D277" s="54"/>
      <c r="E277" s="54"/>
      <c r="F277" s="54"/>
      <c r="G277" s="54"/>
      <c r="H277" s="52"/>
      <c r="I277" s="52"/>
    </row>
    <row r="278" spans="1:9" ht="15" customHeight="1">
      <c r="A278" s="53"/>
      <c r="B278" s="54"/>
      <c r="C278" s="54"/>
      <c r="D278" s="54"/>
      <c r="E278" s="54"/>
      <c r="F278" s="54"/>
      <c r="G278" s="54"/>
      <c r="H278" s="52"/>
      <c r="I278" s="52"/>
    </row>
    <row r="279" spans="1:9" ht="15" customHeight="1">
      <c r="A279" s="53"/>
      <c r="B279" s="54"/>
      <c r="C279" s="54"/>
      <c r="D279" s="54"/>
      <c r="E279" s="54"/>
      <c r="F279" s="54"/>
      <c r="G279" s="54"/>
      <c r="H279" s="52"/>
      <c r="I279" s="52"/>
    </row>
    <row r="280" spans="1:9" ht="15" customHeight="1">
      <c r="A280" s="53"/>
      <c r="B280" s="54"/>
      <c r="C280" s="54"/>
      <c r="D280" s="54"/>
      <c r="E280" s="54"/>
      <c r="F280" s="54"/>
      <c r="G280" s="54"/>
      <c r="H280" s="52"/>
      <c r="I280" s="52"/>
    </row>
    <row r="281" spans="1:9" ht="15" customHeight="1">
      <c r="A281" s="53"/>
      <c r="B281" s="54"/>
      <c r="C281" s="54"/>
      <c r="D281" s="54"/>
      <c r="E281" s="54"/>
      <c r="F281" s="54"/>
      <c r="G281" s="54"/>
      <c r="H281" s="52"/>
      <c r="I281" s="52"/>
    </row>
    <row r="282" spans="1:9" ht="15" customHeight="1">
      <c r="A282" s="53"/>
      <c r="B282" s="54"/>
      <c r="C282" s="54"/>
      <c r="D282" s="54"/>
      <c r="E282" s="54"/>
      <c r="F282" s="54"/>
      <c r="G282" s="54"/>
      <c r="H282" s="52"/>
      <c r="I282" s="52"/>
    </row>
    <row r="283" spans="1:9" ht="15" customHeight="1">
      <c r="A283" s="53"/>
      <c r="B283" s="54"/>
      <c r="C283" s="54"/>
      <c r="D283" s="54"/>
      <c r="E283" s="54"/>
      <c r="F283" s="54"/>
      <c r="G283" s="54"/>
      <c r="H283" s="52"/>
      <c r="I283" s="52"/>
    </row>
    <row r="284" spans="1:9" ht="15" customHeight="1">
      <c r="A284" s="101"/>
      <c r="B284" s="85"/>
      <c r="C284" s="85"/>
      <c r="D284" s="85"/>
      <c r="E284" s="85"/>
      <c r="F284" s="85"/>
      <c r="G284" s="85"/>
      <c r="H284" s="102"/>
      <c r="I284" s="102"/>
    </row>
    <row r="285" spans="1:9" ht="15" customHeight="1">
      <c r="A285" s="98"/>
      <c r="B285" s="84"/>
      <c r="C285" s="84"/>
      <c r="D285" s="84"/>
      <c r="E285" s="84"/>
      <c r="F285" s="84"/>
      <c r="G285" s="84"/>
      <c r="H285" s="99"/>
      <c r="I285" s="99"/>
    </row>
    <row r="286" spans="1:9" ht="15" customHeight="1">
      <c r="A286" s="718" t="s">
        <v>197</v>
      </c>
      <c r="B286" s="718"/>
      <c r="C286" s="718"/>
      <c r="D286" s="718"/>
      <c r="E286" s="718"/>
      <c r="F286" s="718"/>
      <c r="G286" s="718"/>
      <c r="H286" s="718"/>
      <c r="I286" s="718"/>
    </row>
    <row r="287" spans="1:9" ht="15" customHeight="1">
      <c r="A287" s="167"/>
      <c r="B287" s="167"/>
      <c r="C287" s="167"/>
      <c r="D287" s="167"/>
      <c r="E287" s="167"/>
      <c r="F287" s="167"/>
      <c r="G287" s="168"/>
      <c r="H287" s="167"/>
      <c r="I287" s="168"/>
    </row>
    <row r="288" spans="1:9" ht="15" customHeight="1">
      <c r="A288" s="167" t="s">
        <v>112</v>
      </c>
      <c r="B288" s="167"/>
      <c r="C288" s="167"/>
      <c r="D288" s="167"/>
      <c r="E288" s="167"/>
      <c r="F288" s="167"/>
      <c r="G288" s="167"/>
      <c r="H288" s="167"/>
      <c r="I288" s="168"/>
    </row>
    <row r="289" spans="1:9" ht="15" customHeight="1">
      <c r="A289" s="167" t="s">
        <v>161</v>
      </c>
      <c r="B289" s="167"/>
      <c r="C289" s="167"/>
      <c r="D289" s="167"/>
      <c r="E289" s="167"/>
      <c r="F289" s="167"/>
      <c r="G289" s="167"/>
      <c r="H289" s="167"/>
      <c r="I289" s="168"/>
    </row>
    <row r="290" spans="1:9" ht="15" customHeight="1">
      <c r="A290" s="167"/>
      <c r="B290" s="167"/>
      <c r="C290" s="167"/>
      <c r="D290" s="167"/>
      <c r="E290" s="167"/>
      <c r="F290" s="167"/>
      <c r="G290" s="167"/>
      <c r="H290" s="167"/>
      <c r="I290" s="168"/>
    </row>
    <row r="291" spans="1:9" ht="15" customHeight="1">
      <c r="A291" s="167"/>
      <c r="B291" s="167"/>
      <c r="C291" s="167"/>
      <c r="D291" s="167"/>
      <c r="E291" s="167"/>
      <c r="F291" s="167"/>
      <c r="G291" s="168"/>
      <c r="H291" s="167"/>
      <c r="I291" s="168"/>
    </row>
    <row r="292" spans="1:9" ht="15" customHeight="1">
      <c r="A292" s="167"/>
      <c r="B292" s="167"/>
      <c r="C292" s="167"/>
      <c r="D292" s="167"/>
      <c r="E292" s="167"/>
      <c r="F292" s="167"/>
      <c r="G292" s="168"/>
      <c r="H292" s="167"/>
      <c r="I292" s="168"/>
    </row>
    <row r="293" spans="1:9" ht="15" customHeight="1">
      <c r="A293" s="167"/>
      <c r="B293" s="167"/>
      <c r="C293" s="167"/>
      <c r="D293" s="167"/>
      <c r="E293" s="167"/>
      <c r="F293" s="167"/>
      <c r="G293" s="168"/>
      <c r="H293" s="167"/>
      <c r="I293" s="168"/>
    </row>
    <row r="294" spans="1:9" ht="15" customHeight="1">
      <c r="A294" s="167"/>
      <c r="B294" s="167"/>
      <c r="C294" s="167"/>
      <c r="D294" s="167"/>
      <c r="E294" s="167"/>
      <c r="F294" s="167"/>
      <c r="G294" s="168"/>
      <c r="H294" s="167"/>
      <c r="I294" s="168"/>
    </row>
    <row r="295" spans="1:9" ht="15" customHeight="1">
      <c r="A295" s="167"/>
      <c r="B295" s="167"/>
      <c r="C295" s="167"/>
      <c r="D295" s="167"/>
      <c r="E295" s="167"/>
      <c r="F295" s="167"/>
      <c r="G295" s="168"/>
      <c r="H295" s="167"/>
      <c r="I295" s="168"/>
    </row>
    <row r="296" spans="1:9" ht="15" customHeight="1">
      <c r="A296" s="167"/>
      <c r="B296" s="167"/>
      <c r="C296" s="167"/>
      <c r="D296" s="167"/>
      <c r="E296" s="167"/>
      <c r="F296" s="167"/>
      <c r="G296" s="168"/>
      <c r="H296" s="167"/>
      <c r="I296" s="168"/>
    </row>
    <row r="297" spans="1:9" ht="15" customHeight="1">
      <c r="A297" s="167"/>
      <c r="B297" s="167"/>
      <c r="C297" s="167"/>
      <c r="D297" s="167"/>
      <c r="E297" s="167"/>
      <c r="F297" s="167"/>
      <c r="G297" s="168"/>
      <c r="H297" s="167"/>
      <c r="I297" s="168"/>
    </row>
    <row r="298" spans="1:9" ht="15" customHeight="1">
      <c r="A298" s="167"/>
      <c r="B298" s="167"/>
      <c r="C298" s="167"/>
      <c r="D298" s="167"/>
      <c r="E298" s="167"/>
      <c r="F298" s="167"/>
      <c r="G298" s="168"/>
      <c r="H298" s="167"/>
      <c r="I298" s="168"/>
    </row>
    <row r="299" spans="1:9" ht="15" customHeight="1">
      <c r="A299" s="167"/>
      <c r="B299" s="167"/>
      <c r="C299" s="167"/>
      <c r="D299" s="167"/>
      <c r="E299" s="167"/>
      <c r="F299" s="167"/>
      <c r="G299" s="168"/>
      <c r="H299" s="167"/>
      <c r="I299" s="168"/>
    </row>
    <row r="300" spans="1:9" ht="15" customHeight="1">
      <c r="A300" s="167"/>
      <c r="B300" s="167"/>
      <c r="C300" s="167"/>
      <c r="D300" s="167"/>
      <c r="E300" s="167"/>
      <c r="F300" s="167"/>
      <c r="G300" s="168"/>
      <c r="H300" s="167"/>
      <c r="I300" s="168"/>
    </row>
    <row r="301" spans="1:9" ht="15" customHeight="1">
      <c r="A301" s="167"/>
      <c r="B301" s="167"/>
      <c r="C301" s="167"/>
      <c r="D301" s="167"/>
      <c r="E301" s="167"/>
      <c r="F301" s="167"/>
      <c r="G301" s="168"/>
      <c r="H301" s="167"/>
      <c r="I301" s="168"/>
    </row>
    <row r="302" spans="1:9" ht="15" customHeight="1">
      <c r="A302" s="167"/>
      <c r="B302" s="167"/>
      <c r="C302" s="167"/>
      <c r="D302" s="167"/>
      <c r="E302" s="167"/>
      <c r="F302" s="167"/>
      <c r="G302" s="168"/>
      <c r="H302" s="167"/>
      <c r="I302" s="168"/>
    </row>
    <row r="303" spans="1:9" ht="15" customHeight="1">
      <c r="A303" s="167"/>
      <c r="B303" s="167"/>
      <c r="C303" s="167"/>
      <c r="D303" s="167"/>
      <c r="E303" s="167"/>
      <c r="F303" s="167"/>
      <c r="G303" s="168"/>
      <c r="H303" s="167"/>
      <c r="I303" s="168"/>
    </row>
    <row r="304" spans="1:9" ht="15" customHeight="1">
      <c r="A304" s="167"/>
      <c r="B304" s="167"/>
      <c r="C304" s="167"/>
      <c r="D304" s="167"/>
      <c r="E304" s="167"/>
      <c r="F304" s="167"/>
      <c r="G304" s="168"/>
      <c r="H304" s="167"/>
      <c r="I304" s="168"/>
    </row>
    <row r="305" spans="1:9" ht="15" customHeight="1">
      <c r="A305" s="167"/>
      <c r="B305" s="167"/>
      <c r="C305" s="167"/>
      <c r="D305" s="167"/>
      <c r="E305" s="167"/>
      <c r="F305" s="167"/>
      <c r="G305" s="168"/>
      <c r="H305" s="167"/>
      <c r="I305" s="168"/>
    </row>
    <row r="306" spans="1:9" ht="15" customHeight="1">
      <c r="A306" s="167"/>
      <c r="B306" s="167"/>
      <c r="C306" s="167"/>
      <c r="D306" s="167"/>
      <c r="E306" s="167"/>
      <c r="F306" s="167"/>
      <c r="G306" s="168"/>
      <c r="H306" s="167"/>
      <c r="I306" s="168"/>
    </row>
    <row r="307" spans="1:9" ht="15" customHeight="1">
      <c r="A307" s="167"/>
      <c r="B307" s="167"/>
      <c r="C307" s="167"/>
      <c r="D307" s="167"/>
      <c r="E307" s="167"/>
      <c r="F307" s="167"/>
      <c r="G307" s="168"/>
      <c r="H307" s="167"/>
      <c r="I307" s="168"/>
    </row>
    <row r="308" spans="1:9" ht="15" customHeight="1">
      <c r="A308" s="167"/>
      <c r="B308" s="167"/>
      <c r="C308" s="167"/>
      <c r="D308" s="167"/>
      <c r="E308" s="167"/>
      <c r="F308" s="167"/>
      <c r="G308" s="168"/>
      <c r="H308" s="167"/>
      <c r="I308" s="168"/>
    </row>
    <row r="309" spans="1:9" ht="15" customHeight="1">
      <c r="A309" s="167"/>
      <c r="B309" s="167"/>
      <c r="C309" s="167"/>
      <c r="D309" s="167"/>
      <c r="E309" s="167"/>
      <c r="F309" s="167"/>
      <c r="G309" s="168"/>
      <c r="H309" s="167"/>
      <c r="I309" s="168"/>
    </row>
    <row r="310" spans="1:9" ht="15" customHeight="1">
      <c r="A310" s="167"/>
      <c r="B310" s="167"/>
      <c r="C310" s="167"/>
      <c r="D310" s="167"/>
      <c r="E310" s="167"/>
      <c r="F310" s="167"/>
      <c r="G310" s="168"/>
      <c r="H310" s="167"/>
      <c r="I310" s="168"/>
    </row>
    <row r="311" spans="1:9" ht="15" customHeight="1">
      <c r="A311" s="167"/>
      <c r="B311" s="167"/>
      <c r="C311" s="167"/>
      <c r="D311" s="167"/>
      <c r="E311" s="167"/>
      <c r="F311" s="167"/>
      <c r="G311" s="168"/>
      <c r="H311" s="167"/>
      <c r="I311" s="168"/>
    </row>
    <row r="312" spans="1:9" ht="15" customHeight="1">
      <c r="A312" s="167" t="s">
        <v>78</v>
      </c>
      <c r="B312" s="167"/>
      <c r="C312" s="167"/>
      <c r="D312" s="167"/>
      <c r="E312" s="167"/>
      <c r="F312" s="167"/>
      <c r="G312" s="168"/>
      <c r="H312" s="167"/>
      <c r="I312" s="168"/>
    </row>
    <row r="313" spans="1:9" ht="15" customHeight="1">
      <c r="A313" s="164" t="s">
        <v>35</v>
      </c>
      <c r="B313" s="178"/>
      <c r="C313" s="178"/>
      <c r="D313" s="178"/>
      <c r="E313" s="178"/>
      <c r="F313" s="178"/>
      <c r="G313" s="179"/>
      <c r="H313" s="206">
        <f>H116</f>
        <v>16720</v>
      </c>
      <c r="I313" s="181" t="s">
        <v>37</v>
      </c>
    </row>
    <row r="314" spans="1:9" ht="15" customHeight="1">
      <c r="A314" s="165" t="s">
        <v>79</v>
      </c>
      <c r="B314" s="182"/>
      <c r="C314" s="182" t="s">
        <v>80</v>
      </c>
      <c r="D314" s="182"/>
      <c r="E314" s="182"/>
      <c r="F314" s="182"/>
      <c r="G314" s="183"/>
      <c r="H314" s="207">
        <f>H313*1.3415</f>
        <v>22429.879999999997</v>
      </c>
      <c r="I314" s="185" t="s">
        <v>81</v>
      </c>
    </row>
    <row r="315" spans="1:9" ht="15" customHeight="1">
      <c r="A315" s="165"/>
      <c r="B315" s="182"/>
      <c r="C315" s="182"/>
      <c r="D315" s="182"/>
      <c r="E315" s="182"/>
      <c r="F315" s="182"/>
      <c r="G315" s="183"/>
      <c r="H315" s="184"/>
      <c r="I315" s="185"/>
    </row>
    <row r="316" spans="1:9" ht="15" customHeight="1">
      <c r="A316" s="165" t="s">
        <v>83</v>
      </c>
      <c r="B316" s="182"/>
      <c r="C316" s="182"/>
      <c r="D316" s="182"/>
      <c r="E316" s="182"/>
      <c r="F316" s="182"/>
      <c r="G316" s="183"/>
      <c r="H316" s="208">
        <f>H314*0.182*(4+10.5+0.6)</f>
        <v>61641.796215999988</v>
      </c>
      <c r="I316" s="185" t="s">
        <v>82</v>
      </c>
    </row>
    <row r="317" spans="1:9" ht="15" customHeight="1">
      <c r="A317" s="165"/>
      <c r="B317" s="182"/>
      <c r="C317" s="182"/>
      <c r="D317" s="182"/>
      <c r="E317" s="182"/>
      <c r="F317" s="182"/>
      <c r="G317" s="183"/>
      <c r="H317" s="184"/>
      <c r="I317" s="185"/>
    </row>
    <row r="318" spans="1:9" ht="15" customHeight="1">
      <c r="A318" s="165" t="s">
        <v>84</v>
      </c>
      <c r="B318" s="182"/>
      <c r="C318" s="182"/>
      <c r="D318" s="182"/>
      <c r="E318" s="182"/>
      <c r="F318" s="182"/>
      <c r="G318" s="183"/>
      <c r="H318" s="207">
        <f>H316*30</f>
        <v>1849253.8864799996</v>
      </c>
      <c r="I318" s="185" t="s">
        <v>85</v>
      </c>
    </row>
    <row r="319" spans="1:9" ht="15" customHeight="1">
      <c r="A319" s="165"/>
      <c r="B319" s="182"/>
      <c r="C319" s="182"/>
      <c r="D319" s="182"/>
      <c r="E319" s="182"/>
      <c r="F319" s="182"/>
      <c r="G319" s="183"/>
      <c r="H319" s="184"/>
      <c r="I319" s="185"/>
    </row>
    <row r="320" spans="1:9" ht="15" customHeight="1">
      <c r="A320" s="165" t="s">
        <v>86</v>
      </c>
      <c r="B320" s="182"/>
      <c r="C320" s="182"/>
      <c r="D320" s="182" t="s">
        <v>178</v>
      </c>
      <c r="E320" s="182"/>
      <c r="F320" s="182"/>
      <c r="G320" s="183"/>
      <c r="H320" s="209">
        <f>H120</f>
        <v>2.56</v>
      </c>
      <c r="I320" s="185" t="s">
        <v>171</v>
      </c>
    </row>
    <row r="321" spans="1:9" ht="15" customHeight="1">
      <c r="A321" s="165"/>
      <c r="B321" s="182"/>
      <c r="C321" s="182"/>
      <c r="D321" s="182"/>
      <c r="E321" s="182"/>
      <c r="F321" s="182"/>
      <c r="G321" s="183"/>
      <c r="H321" s="207"/>
      <c r="I321" s="185"/>
    </row>
    <row r="322" spans="1:9" ht="15" customHeight="1">
      <c r="A322" s="103" t="s">
        <v>87</v>
      </c>
      <c r="B322" s="104"/>
      <c r="C322" s="104"/>
      <c r="D322" s="104"/>
      <c r="E322" s="104"/>
      <c r="F322" s="104"/>
      <c r="G322" s="170"/>
      <c r="H322" s="30">
        <f>H318*H320</f>
        <v>4734089.9493887993</v>
      </c>
      <c r="I322" s="31" t="s">
        <v>26</v>
      </c>
    </row>
    <row r="323" spans="1:9" ht="15" customHeight="1">
      <c r="A323" s="53"/>
      <c r="B323" s="54"/>
      <c r="C323" s="54"/>
      <c r="D323" s="54"/>
      <c r="E323" s="54"/>
      <c r="F323" s="54"/>
      <c r="G323" s="54"/>
      <c r="H323" s="52"/>
      <c r="I323" s="52"/>
    </row>
    <row r="324" spans="1:9" ht="15" customHeight="1">
      <c r="A324" s="53"/>
      <c r="B324" s="54"/>
      <c r="C324" s="54"/>
      <c r="D324" s="54"/>
      <c r="E324" s="54"/>
      <c r="F324" s="54"/>
      <c r="G324" s="54"/>
      <c r="H324" s="52"/>
      <c r="I324" s="52"/>
    </row>
    <row r="325" spans="1:9" ht="15" customHeight="1">
      <c r="A325" s="53"/>
      <c r="B325" s="54"/>
      <c r="C325" s="54"/>
      <c r="D325" s="54"/>
      <c r="E325" s="54"/>
      <c r="F325" s="54"/>
      <c r="G325" s="54"/>
      <c r="H325" s="52"/>
      <c r="I325" s="52"/>
    </row>
    <row r="326" spans="1:9" ht="15" customHeight="1">
      <c r="A326" s="53"/>
      <c r="B326" s="54"/>
      <c r="C326" s="54"/>
      <c r="D326" s="54"/>
      <c r="E326" s="54"/>
      <c r="F326" s="54"/>
      <c r="G326" s="54"/>
      <c r="H326" s="52"/>
      <c r="I326" s="52"/>
    </row>
    <row r="327" spans="1:9" ht="15" customHeight="1">
      <c r="A327" s="53"/>
      <c r="B327" s="54"/>
      <c r="C327" s="54"/>
      <c r="D327" s="54"/>
      <c r="E327" s="54"/>
      <c r="F327" s="54"/>
      <c r="G327" s="54"/>
      <c r="H327" s="52"/>
      <c r="I327" s="52"/>
    </row>
    <row r="328" spans="1:9" ht="15" customHeight="1">
      <c r="A328" s="53"/>
      <c r="B328" s="54"/>
      <c r="C328" s="54"/>
      <c r="D328" s="54"/>
      <c r="E328" s="54"/>
      <c r="F328" s="54"/>
      <c r="G328" s="54"/>
      <c r="H328" s="52"/>
      <c r="I328" s="52"/>
    </row>
    <row r="329" spans="1:9" ht="15" customHeight="1">
      <c r="A329" s="53"/>
      <c r="B329" s="54"/>
      <c r="C329" s="54"/>
      <c r="D329" s="54"/>
      <c r="E329" s="54"/>
      <c r="F329" s="54"/>
      <c r="G329" s="54"/>
      <c r="H329" s="52"/>
      <c r="I329" s="52"/>
    </row>
    <row r="330" spans="1:9" ht="15" customHeight="1">
      <c r="A330" s="53"/>
      <c r="B330" s="54"/>
      <c r="C330" s="54"/>
      <c r="D330" s="54"/>
      <c r="E330" s="54"/>
      <c r="F330" s="54"/>
      <c r="G330" s="54"/>
      <c r="H330" s="52"/>
      <c r="I330" s="52"/>
    </row>
    <row r="331" spans="1:9" ht="15" customHeight="1">
      <c r="A331" s="53"/>
      <c r="B331" s="54"/>
      <c r="C331" s="54"/>
      <c r="D331" s="54"/>
      <c r="E331" s="54"/>
      <c r="F331" s="54"/>
      <c r="G331" s="54"/>
      <c r="H331" s="52"/>
      <c r="I331" s="52"/>
    </row>
    <row r="332" spans="1:9" ht="15" customHeight="1">
      <c r="A332" s="53"/>
      <c r="B332" s="54"/>
      <c r="C332" s="54"/>
      <c r="D332" s="54"/>
      <c r="E332" s="54"/>
      <c r="F332" s="54"/>
      <c r="G332" s="54"/>
      <c r="H332" s="52"/>
      <c r="I332" s="52"/>
    </row>
    <row r="333" spans="1:9" ht="15" customHeight="1">
      <c r="A333" s="53"/>
      <c r="B333" s="54"/>
      <c r="C333" s="54"/>
      <c r="D333" s="54"/>
      <c r="E333" s="54"/>
      <c r="F333" s="54"/>
      <c r="G333" s="54"/>
      <c r="H333" s="52"/>
      <c r="I333" s="52"/>
    </row>
    <row r="334" spans="1:9" ht="15" customHeight="1">
      <c r="A334" s="101"/>
      <c r="B334" s="85"/>
      <c r="C334" s="85"/>
      <c r="D334" s="85"/>
      <c r="E334" s="85"/>
      <c r="F334" s="85"/>
      <c r="G334" s="85"/>
      <c r="H334" s="102"/>
      <c r="I334" s="102"/>
    </row>
    <row r="335" spans="1:9" ht="15" customHeight="1">
      <c r="A335" s="100"/>
      <c r="B335" s="100"/>
      <c r="C335" s="100"/>
      <c r="D335" s="100"/>
      <c r="E335" s="100"/>
      <c r="F335" s="100"/>
      <c r="G335" s="100"/>
      <c r="H335" s="100"/>
      <c r="I335" s="100"/>
    </row>
    <row r="336" spans="1:9" ht="15" customHeight="1">
      <c r="A336" s="738" t="s">
        <v>196</v>
      </c>
      <c r="B336" s="738"/>
      <c r="C336" s="738"/>
      <c r="D336" s="738"/>
      <c r="E336" s="738"/>
      <c r="F336" s="738"/>
      <c r="G336" s="738"/>
      <c r="H336" s="738"/>
      <c r="I336" s="738"/>
    </row>
    <row r="337" spans="1:9" ht="15" customHeight="1">
      <c r="A337" s="255"/>
      <c r="B337" s="255"/>
      <c r="C337" s="255"/>
      <c r="D337" s="255"/>
      <c r="E337" s="255"/>
      <c r="F337" s="255"/>
      <c r="G337" s="255"/>
      <c r="H337" s="255"/>
      <c r="I337" s="255"/>
    </row>
    <row r="338" spans="1:9" ht="15" customHeight="1">
      <c r="A338" s="47" t="s">
        <v>120</v>
      </c>
      <c r="B338" s="47"/>
      <c r="C338" s="47"/>
      <c r="D338" s="47"/>
      <c r="E338" s="255"/>
      <c r="F338" s="255"/>
      <c r="G338" s="255"/>
      <c r="H338" s="255"/>
      <c r="I338" s="255"/>
    </row>
    <row r="339" spans="1:9" ht="15" customHeight="1">
      <c r="A339" s="47" t="s">
        <v>142</v>
      </c>
      <c r="B339" s="255"/>
      <c r="C339" s="255"/>
      <c r="D339" s="255"/>
      <c r="E339" s="255"/>
      <c r="F339" s="255"/>
      <c r="G339" s="255"/>
      <c r="H339" s="255"/>
      <c r="I339" s="255"/>
    </row>
    <row r="340" spans="1:9" ht="15" customHeight="1">
      <c r="A340" s="174" t="s">
        <v>144</v>
      </c>
      <c r="B340" s="47"/>
      <c r="C340" s="47"/>
      <c r="D340" s="47"/>
      <c r="E340" s="47"/>
      <c r="F340" s="47"/>
      <c r="G340" s="47"/>
      <c r="H340" s="47"/>
      <c r="I340" s="47"/>
    </row>
    <row r="341" spans="1:9" ht="15" customHeight="1">
      <c r="A341" s="174" t="s">
        <v>145</v>
      </c>
      <c r="B341" s="174"/>
      <c r="C341" s="174"/>
      <c r="D341" s="174"/>
      <c r="E341" s="174"/>
      <c r="F341" s="174"/>
      <c r="G341" s="210">
        <f>0.000275*30</f>
        <v>8.2500000000000004E-3</v>
      </c>
      <c r="H341" s="174"/>
      <c r="I341" s="174"/>
    </row>
    <row r="342" spans="1:9" ht="15" customHeight="1">
      <c r="A342" s="47" t="s">
        <v>146</v>
      </c>
      <c r="B342" s="47"/>
      <c r="C342" s="174"/>
      <c r="D342" s="174"/>
      <c r="E342" s="174"/>
      <c r="F342" s="174"/>
      <c r="G342" s="174"/>
      <c r="H342" s="174"/>
      <c r="I342" s="174"/>
    </row>
    <row r="343" spans="1:9" ht="15" customHeight="1">
      <c r="A343" s="174" t="s">
        <v>147</v>
      </c>
      <c r="B343" s="47"/>
      <c r="C343" s="47"/>
      <c r="D343" s="47"/>
      <c r="E343" s="47"/>
      <c r="F343" s="47"/>
      <c r="G343" s="47"/>
      <c r="H343" s="47"/>
      <c r="I343" s="174"/>
    </row>
    <row r="344" spans="1:9" ht="15" customHeight="1">
      <c r="A344" s="174" t="s">
        <v>145</v>
      </c>
      <c r="B344" s="174"/>
      <c r="C344" s="174"/>
      <c r="D344" s="174"/>
      <c r="E344" s="174"/>
      <c r="F344" s="174"/>
      <c r="G344" s="210">
        <f>0.000135*30</f>
        <v>4.0499999999999998E-3</v>
      </c>
      <c r="H344" s="174"/>
      <c r="I344" s="174"/>
    </row>
    <row r="345" spans="1:9" ht="15" customHeight="1">
      <c r="A345" s="47" t="s">
        <v>148</v>
      </c>
      <c r="B345" s="174"/>
      <c r="C345" s="174"/>
      <c r="D345" s="174"/>
      <c r="E345" s="174"/>
      <c r="F345" s="174"/>
      <c r="G345" s="174"/>
      <c r="H345" s="174"/>
      <c r="I345" s="174"/>
    </row>
    <row r="346" spans="1:9" ht="15" customHeight="1">
      <c r="A346" s="174" t="s">
        <v>149</v>
      </c>
      <c r="B346" s="174"/>
      <c r="C346" s="174"/>
      <c r="D346" s="174"/>
      <c r="E346" s="174"/>
      <c r="F346" s="174"/>
      <c r="G346" s="174"/>
      <c r="H346" s="174"/>
      <c r="I346" s="174"/>
    </row>
    <row r="347" spans="1:9" ht="15" customHeight="1">
      <c r="A347" s="174" t="s">
        <v>150</v>
      </c>
      <c r="B347" s="174"/>
      <c r="C347" s="174"/>
      <c r="D347" s="174"/>
      <c r="E347" s="174"/>
      <c r="F347" s="174"/>
      <c r="G347" s="211">
        <f>0.025/12</f>
        <v>2.0833333333333333E-3</v>
      </c>
      <c r="H347" s="174"/>
      <c r="I347" s="174"/>
    </row>
    <row r="348" spans="1:9" ht="15" customHeight="1">
      <c r="A348" s="47" t="s">
        <v>151</v>
      </c>
      <c r="B348" s="174"/>
      <c r="C348" s="174"/>
      <c r="D348" s="174"/>
      <c r="E348" s="174"/>
      <c r="F348" s="174"/>
      <c r="G348" s="174"/>
      <c r="H348" s="174"/>
      <c r="I348" s="174"/>
    </row>
    <row r="349" spans="1:9" ht="15" customHeight="1">
      <c r="A349" s="174" t="s">
        <v>152</v>
      </c>
      <c r="B349" s="174"/>
      <c r="C349" s="174"/>
      <c r="D349" s="174"/>
      <c r="E349" s="174"/>
      <c r="F349" s="174"/>
      <c r="G349" s="174"/>
      <c r="H349" s="174"/>
      <c r="I349" s="174"/>
    </row>
    <row r="350" spans="1:9" ht="15" customHeight="1">
      <c r="A350" s="174" t="s">
        <v>153</v>
      </c>
      <c r="B350" s="174"/>
      <c r="C350" s="174"/>
      <c r="D350" s="174"/>
      <c r="E350" s="174"/>
      <c r="F350" s="174"/>
      <c r="G350" s="174">
        <v>4.4999999999999997E-3</v>
      </c>
      <c r="H350" s="174" t="s">
        <v>154</v>
      </c>
      <c r="I350" s="174"/>
    </row>
    <row r="351" spans="1:9" ht="15" customHeight="1">
      <c r="A351" s="47" t="s">
        <v>155</v>
      </c>
      <c r="B351" s="174"/>
      <c r="C351" s="174"/>
      <c r="D351" s="174"/>
      <c r="E351" s="174"/>
      <c r="F351" s="174"/>
      <c r="G351" s="174"/>
      <c r="H351" s="174"/>
      <c r="I351" s="174"/>
    </row>
    <row r="352" spans="1:9" ht="15" customHeight="1">
      <c r="A352" s="174" t="s">
        <v>385</v>
      </c>
      <c r="B352" s="174"/>
      <c r="C352" s="174"/>
      <c r="D352" s="174"/>
      <c r="E352" s="174"/>
      <c r="F352" s="174"/>
      <c r="G352" s="174"/>
      <c r="H352" s="174"/>
      <c r="I352" s="174"/>
    </row>
    <row r="353" spans="1:9" ht="15" customHeight="1">
      <c r="A353" s="174" t="s">
        <v>324</v>
      </c>
      <c r="B353" s="174"/>
      <c r="C353" s="174"/>
      <c r="D353" s="174"/>
      <c r="E353" s="174"/>
      <c r="F353" s="174"/>
      <c r="G353" s="174"/>
      <c r="H353" s="174"/>
      <c r="I353" s="174"/>
    </row>
    <row r="354" spans="1:9" ht="15" customHeight="1">
      <c r="A354" s="47" t="s">
        <v>156</v>
      </c>
      <c r="B354" s="47"/>
      <c r="C354" s="174"/>
      <c r="D354" s="174"/>
      <c r="E354" s="174"/>
      <c r="F354" s="174"/>
      <c r="G354" s="174"/>
      <c r="H354" s="174"/>
      <c r="I354" s="174"/>
    </row>
    <row r="355" spans="1:9" ht="15" customHeight="1">
      <c r="A355" s="174" t="s">
        <v>157</v>
      </c>
      <c r="B355" s="174"/>
      <c r="C355" s="174"/>
      <c r="D355" s="174"/>
      <c r="E355" s="174"/>
      <c r="F355" s="174"/>
      <c r="G355" s="174"/>
      <c r="H355" s="174"/>
      <c r="I355" s="174"/>
    </row>
    <row r="356" spans="1:9" ht="15" customHeight="1">
      <c r="A356" s="174" t="s">
        <v>158</v>
      </c>
      <c r="B356" s="174"/>
      <c r="C356" s="174"/>
      <c r="D356" s="174"/>
      <c r="E356" s="174"/>
      <c r="F356" s="174"/>
      <c r="G356" s="174"/>
      <c r="H356" s="174"/>
      <c r="I356" s="174"/>
    </row>
    <row r="357" spans="1:9" ht="15" customHeight="1">
      <c r="A357" s="174"/>
      <c r="B357" s="174"/>
      <c r="C357" s="174"/>
      <c r="D357" s="174"/>
      <c r="E357" s="174"/>
      <c r="F357" s="174"/>
      <c r="G357" s="174"/>
      <c r="H357" s="174"/>
      <c r="I357" s="174"/>
    </row>
    <row r="358" spans="1:9" ht="15" customHeight="1">
      <c r="A358" s="33" t="s">
        <v>20</v>
      </c>
      <c r="B358" s="34"/>
      <c r="C358" s="34"/>
      <c r="D358" s="34"/>
      <c r="E358" s="34"/>
      <c r="F358" s="34"/>
      <c r="G358" s="169"/>
      <c r="H358" s="36">
        <f>H110</f>
        <v>11000</v>
      </c>
      <c r="I358" s="181" t="s">
        <v>13</v>
      </c>
    </row>
    <row r="359" spans="1:9" ht="15" customHeight="1">
      <c r="A359" s="165" t="s">
        <v>24</v>
      </c>
      <c r="B359" s="182"/>
      <c r="C359" s="182"/>
      <c r="D359" s="5"/>
      <c r="E359" s="5"/>
      <c r="F359" s="5"/>
      <c r="G359" s="6"/>
      <c r="H359" s="37">
        <f>H116</f>
        <v>16720</v>
      </c>
      <c r="I359" s="185" t="s">
        <v>25</v>
      </c>
    </row>
    <row r="360" spans="1:9" ht="15" customHeight="1">
      <c r="A360" s="165" t="s">
        <v>367</v>
      </c>
      <c r="B360" s="182"/>
      <c r="C360" s="182"/>
      <c r="D360" s="182"/>
      <c r="E360" s="182"/>
      <c r="F360" s="182"/>
      <c r="G360" s="183"/>
      <c r="H360" s="212">
        <f>H108</f>
        <v>83616000</v>
      </c>
      <c r="I360" s="185" t="s">
        <v>21</v>
      </c>
    </row>
    <row r="361" spans="1:9" ht="15" customHeight="1">
      <c r="A361" s="165" t="s">
        <v>143</v>
      </c>
      <c r="B361" s="182"/>
      <c r="C361" s="182"/>
      <c r="D361" s="182"/>
      <c r="E361" s="182"/>
      <c r="F361" s="182"/>
      <c r="G361" s="183"/>
      <c r="H361" s="209">
        <f>H104</f>
        <v>3.25</v>
      </c>
      <c r="I361" s="185" t="s">
        <v>23</v>
      </c>
    </row>
    <row r="362" spans="1:9" ht="15" customHeight="1">
      <c r="A362" s="165" t="s">
        <v>22</v>
      </c>
      <c r="B362" s="182"/>
      <c r="C362" s="182"/>
      <c r="D362" s="182"/>
      <c r="E362" s="182"/>
      <c r="F362" s="182"/>
      <c r="G362" s="183"/>
      <c r="H362" s="63">
        <f>H360*H361</f>
        <v>271752000</v>
      </c>
      <c r="I362" s="185" t="s">
        <v>23</v>
      </c>
    </row>
    <row r="363" spans="1:9" ht="15" customHeight="1">
      <c r="A363" s="165" t="s">
        <v>141</v>
      </c>
      <c r="B363" s="182"/>
      <c r="C363" s="182"/>
      <c r="D363" s="182"/>
      <c r="E363" s="182"/>
      <c r="F363" s="182"/>
      <c r="G363" s="183"/>
      <c r="H363" s="184"/>
      <c r="I363" s="185"/>
    </row>
    <row r="364" spans="1:9" ht="15" customHeight="1">
      <c r="A364" s="165"/>
      <c r="B364" s="216" t="s">
        <v>89</v>
      </c>
      <c r="C364" s="765">
        <f>G341</f>
        <v>8.2500000000000004E-3</v>
      </c>
      <c r="D364" s="765"/>
      <c r="E364" s="182"/>
      <c r="F364" s="182"/>
      <c r="G364" s="183"/>
      <c r="H364" s="215">
        <f>H362*C364</f>
        <v>2241954</v>
      </c>
      <c r="I364" s="185" t="s">
        <v>26</v>
      </c>
    </row>
    <row r="365" spans="1:9" ht="15" customHeight="1">
      <c r="A365" s="165" t="s">
        <v>90</v>
      </c>
      <c r="B365" s="182"/>
      <c r="C365" s="310"/>
      <c r="D365" s="310"/>
      <c r="E365" s="182"/>
      <c r="F365" s="182"/>
      <c r="G365" s="183"/>
      <c r="H365" s="38"/>
      <c r="I365" s="185"/>
    </row>
    <row r="366" spans="1:9" ht="15" customHeight="1">
      <c r="A366" s="165"/>
      <c r="B366" s="216" t="s">
        <v>89</v>
      </c>
      <c r="C366" s="765">
        <f>G344</f>
        <v>4.0499999999999998E-3</v>
      </c>
      <c r="D366" s="765"/>
      <c r="E366" s="182"/>
      <c r="F366" s="182"/>
      <c r="G366" s="183"/>
      <c r="H366" s="63">
        <f>H362*C366</f>
        <v>1100595.5999999999</v>
      </c>
      <c r="I366" s="185" t="s">
        <v>26</v>
      </c>
    </row>
    <row r="367" spans="1:9" ht="15" customHeight="1">
      <c r="A367" s="165" t="s">
        <v>27</v>
      </c>
      <c r="B367" s="182"/>
      <c r="C367" s="310"/>
      <c r="D367" s="310"/>
      <c r="E367" s="182"/>
      <c r="F367" s="182"/>
      <c r="G367" s="183"/>
      <c r="H367" s="184"/>
      <c r="I367" s="185"/>
    </row>
    <row r="368" spans="1:9" ht="15" customHeight="1">
      <c r="A368" s="165"/>
      <c r="B368" s="216" t="s">
        <v>89</v>
      </c>
      <c r="C368" s="765">
        <f>G347</f>
        <v>2.0833333333333333E-3</v>
      </c>
      <c r="D368" s="765"/>
      <c r="E368" s="182"/>
      <c r="F368" s="182"/>
      <c r="G368" s="183"/>
      <c r="H368" s="63">
        <f>H362*C368</f>
        <v>566150</v>
      </c>
      <c r="I368" s="185" t="s">
        <v>26</v>
      </c>
    </row>
    <row r="369" spans="1:9" ht="15" customHeight="1">
      <c r="A369" s="165" t="s">
        <v>91</v>
      </c>
      <c r="B369" s="182"/>
      <c r="C369" s="310"/>
      <c r="D369" s="310"/>
      <c r="E369" s="182"/>
      <c r="F369" s="182"/>
      <c r="G369" s="183"/>
      <c r="H369" s="38"/>
      <c r="I369" s="39"/>
    </row>
    <row r="370" spans="1:9" ht="15" customHeight="1">
      <c r="A370" s="165"/>
      <c r="B370" s="216" t="s">
        <v>89</v>
      </c>
      <c r="C370" s="764">
        <f>G350</f>
        <v>4.4999999999999997E-3</v>
      </c>
      <c r="D370" s="764"/>
      <c r="E370" s="182"/>
      <c r="F370" s="182"/>
      <c r="G370" s="183"/>
      <c r="H370" s="63">
        <f>C370*H362</f>
        <v>1222884</v>
      </c>
      <c r="I370" s="185" t="s">
        <v>26</v>
      </c>
    </row>
    <row r="371" spans="1:9" ht="15" customHeight="1">
      <c r="A371" s="165" t="s">
        <v>28</v>
      </c>
      <c r="B371" s="182"/>
      <c r="C371" s="182"/>
      <c r="D371" s="182"/>
      <c r="E371" s="182"/>
      <c r="F371" s="182"/>
      <c r="G371" s="183"/>
      <c r="H371" s="38"/>
      <c r="I371" s="185"/>
    </row>
    <row r="372" spans="1:9" ht="15" customHeight="1">
      <c r="A372" s="216" t="s">
        <v>113</v>
      </c>
      <c r="B372" s="217">
        <v>30</v>
      </c>
      <c r="C372" s="182"/>
      <c r="D372" s="182"/>
      <c r="E372" s="182"/>
      <c r="F372" s="214"/>
      <c r="G372" s="35"/>
      <c r="H372" s="63">
        <f>H362/(12*B372)</f>
        <v>754866.66666666663</v>
      </c>
      <c r="I372" s="185" t="s">
        <v>26</v>
      </c>
    </row>
    <row r="373" spans="1:9" ht="15" customHeight="1">
      <c r="A373" s="165" t="s">
        <v>92</v>
      </c>
      <c r="B373" s="182"/>
      <c r="C373" s="182"/>
      <c r="D373" s="182"/>
      <c r="E373" s="182"/>
      <c r="F373" s="182"/>
      <c r="G373" s="183"/>
      <c r="H373" s="215">
        <f>H322</f>
        <v>4734089.9493887993</v>
      </c>
      <c r="I373" s="185" t="s">
        <v>26</v>
      </c>
    </row>
    <row r="374" spans="1:9" ht="15" customHeight="1">
      <c r="A374" s="165" t="s">
        <v>96</v>
      </c>
      <c r="B374" s="182"/>
      <c r="C374" s="182"/>
      <c r="D374" s="182"/>
      <c r="E374" s="182"/>
      <c r="F374" s="182"/>
      <c r="G374" s="183"/>
      <c r="H374" s="215"/>
      <c r="I374" s="185"/>
    </row>
    <row r="375" spans="1:9" ht="15" customHeight="1">
      <c r="A375" s="216" t="s">
        <v>272</v>
      </c>
      <c r="B375" s="218">
        <v>0.1</v>
      </c>
      <c r="C375" s="182" t="s">
        <v>273</v>
      </c>
      <c r="D375" s="182"/>
      <c r="E375" s="182"/>
      <c r="F375" s="214"/>
      <c r="G375" s="183"/>
      <c r="H375" s="215">
        <f>H373*B375</f>
        <v>473408.99493887997</v>
      </c>
      <c r="I375" s="185" t="s">
        <v>26</v>
      </c>
    </row>
    <row r="376" spans="1:9" ht="15" customHeight="1">
      <c r="A376" s="165" t="s">
        <v>41</v>
      </c>
      <c r="B376" s="182"/>
      <c r="C376" s="182"/>
      <c r="D376" s="182"/>
      <c r="E376" s="182"/>
      <c r="F376" s="182"/>
      <c r="G376" s="183"/>
      <c r="H376" s="215">
        <f>H172</f>
        <v>590320.06079999998</v>
      </c>
      <c r="I376" s="185" t="s">
        <v>26</v>
      </c>
    </row>
    <row r="377" spans="1:9" ht="15" customHeight="1">
      <c r="A377" s="165"/>
      <c r="B377" s="182"/>
      <c r="C377" s="182"/>
      <c r="D377" s="182"/>
      <c r="E377" s="182"/>
      <c r="F377" s="182"/>
      <c r="G377" s="183"/>
      <c r="H377" s="184"/>
      <c r="I377" s="185"/>
    </row>
    <row r="378" spans="1:9" ht="15" customHeight="1">
      <c r="A378" s="4" t="s">
        <v>93</v>
      </c>
      <c r="B378" s="5"/>
      <c r="C378" s="5"/>
      <c r="D378" s="5"/>
      <c r="E378" s="5"/>
      <c r="F378" s="5"/>
      <c r="G378" s="6"/>
      <c r="H378" s="43">
        <f>SUM(H364,H366,H368,H370,H372,H373,H375,H376)</f>
        <v>11684269.271794345</v>
      </c>
      <c r="I378" s="32" t="s">
        <v>26</v>
      </c>
    </row>
    <row r="379" spans="1:9" ht="15" customHeight="1">
      <c r="A379" s="166"/>
      <c r="B379" s="192"/>
      <c r="C379" s="192"/>
      <c r="D379" s="192"/>
      <c r="E379" s="192"/>
      <c r="F379" s="192"/>
      <c r="G379" s="193"/>
      <c r="H379" s="219"/>
      <c r="I379" s="195"/>
    </row>
    <row r="380" spans="1:9" ht="15" customHeight="1">
      <c r="A380" s="50"/>
      <c r="B380" s="50"/>
      <c r="C380" s="50"/>
      <c r="D380" s="50"/>
      <c r="E380" s="50"/>
      <c r="F380" s="50"/>
      <c r="G380" s="50"/>
      <c r="H380" s="50"/>
      <c r="I380" s="50"/>
    </row>
    <row r="381" spans="1:9" ht="15" customHeight="1">
      <c r="A381" s="50"/>
      <c r="B381" s="50"/>
      <c r="C381" s="50"/>
      <c r="D381" s="50"/>
      <c r="E381" s="50"/>
      <c r="F381" s="50"/>
      <c r="G381" s="50"/>
      <c r="H381" s="50"/>
      <c r="I381" s="50"/>
    </row>
    <row r="382" spans="1:9" ht="15" customHeight="1">
      <c r="A382" s="50"/>
      <c r="B382" s="50"/>
      <c r="C382" s="50"/>
      <c r="D382" s="50"/>
      <c r="E382" s="50"/>
      <c r="F382" s="50"/>
      <c r="G382" s="50"/>
      <c r="H382" s="50"/>
      <c r="I382" s="50"/>
    </row>
    <row r="383" spans="1:9" ht="15" customHeight="1">
      <c r="A383" s="49"/>
      <c r="B383" s="224"/>
      <c r="C383" s="224"/>
      <c r="D383" s="224"/>
      <c r="E383" s="224"/>
      <c r="F383" s="224"/>
      <c r="G383" s="225"/>
      <c r="H383" s="224"/>
      <c r="I383" s="225"/>
    </row>
    <row r="384" spans="1:9" ht="15" customHeight="1">
      <c r="A384" s="101"/>
      <c r="B384" s="85"/>
      <c r="C384" s="85"/>
      <c r="D384" s="85"/>
      <c r="E384" s="85"/>
      <c r="F384" s="85"/>
      <c r="G384" s="85"/>
      <c r="H384" s="102"/>
      <c r="I384" s="102"/>
    </row>
    <row r="385" spans="1:9" ht="15" customHeight="1">
      <c r="A385" s="178"/>
      <c r="B385" s="178"/>
      <c r="C385" s="178"/>
      <c r="D385" s="178"/>
      <c r="E385" s="178"/>
      <c r="F385" s="178"/>
      <c r="G385" s="177"/>
      <c r="H385" s="178"/>
      <c r="I385" s="177"/>
    </row>
    <row r="386" spans="1:9" ht="15" customHeight="1">
      <c r="A386" s="718" t="s">
        <v>489</v>
      </c>
      <c r="B386" s="718"/>
      <c r="C386" s="718"/>
      <c r="D386" s="718"/>
      <c r="E386" s="718"/>
      <c r="F386" s="718"/>
      <c r="G386" s="718"/>
      <c r="H386" s="718"/>
      <c r="I386" s="718"/>
    </row>
    <row r="387" spans="1:9" ht="15" customHeight="1">
      <c r="A387" s="55"/>
      <c r="B387" s="55"/>
      <c r="C387" s="55"/>
      <c r="D387" s="55"/>
      <c r="E387" s="55"/>
      <c r="F387" s="55"/>
      <c r="G387" s="55"/>
      <c r="H387" s="55"/>
      <c r="I387" s="55"/>
    </row>
    <row r="388" spans="1:9" ht="15" customHeight="1">
      <c r="A388" s="358" t="s">
        <v>368</v>
      </c>
      <c r="B388" s="377"/>
      <c r="C388" s="377"/>
      <c r="D388" s="377"/>
      <c r="E388" s="377"/>
      <c r="F388" s="377"/>
      <c r="G388" s="465"/>
      <c r="H388" s="677">
        <f>ROUND(H378/H258,2)</f>
        <v>7.86</v>
      </c>
      <c r="I388" s="359" t="s">
        <v>107</v>
      </c>
    </row>
    <row r="389" spans="1:9" ht="15" customHeight="1">
      <c r="A389" s="353"/>
      <c r="B389" s="354"/>
      <c r="C389" s="354"/>
      <c r="D389" s="354"/>
      <c r="E389" s="354"/>
      <c r="F389" s="354"/>
      <c r="G389" s="463"/>
      <c r="H389" s="184"/>
      <c r="I389" s="356"/>
    </row>
    <row r="390" spans="1:9" ht="15" customHeight="1">
      <c r="A390" s="353" t="s">
        <v>491</v>
      </c>
      <c r="B390" s="354"/>
      <c r="C390" s="354"/>
      <c r="D390" s="354"/>
      <c r="E390" s="354"/>
      <c r="F390" s="354"/>
      <c r="G390" s="463"/>
      <c r="H390" s="207">
        <f>H124</f>
        <v>10926874.699999999</v>
      </c>
      <c r="I390" s="356" t="s">
        <v>13</v>
      </c>
    </row>
    <row r="391" spans="1:9" ht="15" customHeight="1">
      <c r="A391" s="353"/>
      <c r="B391" s="354"/>
      <c r="C391" s="354"/>
      <c r="D391" s="354"/>
      <c r="E391" s="354"/>
      <c r="F391" s="354"/>
      <c r="G391" s="463"/>
      <c r="H391" s="184"/>
      <c r="I391" s="356"/>
    </row>
    <row r="392" spans="1:9" ht="15" customHeight="1">
      <c r="A392" s="353" t="s">
        <v>437</v>
      </c>
      <c r="B392" s="354"/>
      <c r="C392" s="354"/>
      <c r="D392" s="354"/>
      <c r="E392" s="354"/>
      <c r="F392" s="354"/>
      <c r="G392" s="463"/>
      <c r="H392" s="221">
        <f>Assoreamento!J4</f>
        <v>2</v>
      </c>
      <c r="I392" s="356" t="s">
        <v>492</v>
      </c>
    </row>
    <row r="393" spans="1:9" ht="15" customHeight="1">
      <c r="A393" s="353"/>
      <c r="B393" s="354"/>
      <c r="C393" s="354"/>
      <c r="D393" s="354"/>
      <c r="E393" s="354"/>
      <c r="F393" s="354"/>
      <c r="G393" s="463"/>
      <c r="H393" s="184"/>
      <c r="I393" s="356"/>
    </row>
    <row r="394" spans="1:9" ht="15" customHeight="1">
      <c r="A394" s="353" t="s">
        <v>493</v>
      </c>
      <c r="B394" s="354"/>
      <c r="C394" s="354"/>
      <c r="D394" s="354"/>
      <c r="E394" s="354"/>
      <c r="F394" s="354"/>
      <c r="G394" s="463"/>
      <c r="H394" s="380">
        <f>H390*30/H258/H392</f>
        <v>110.23450612752526</v>
      </c>
      <c r="I394" s="356" t="s">
        <v>100</v>
      </c>
    </row>
    <row r="395" spans="1:9" ht="15" customHeight="1">
      <c r="A395" s="678"/>
      <c r="B395" s="354"/>
      <c r="C395" s="354"/>
      <c r="D395" s="354"/>
      <c r="E395" s="354"/>
      <c r="F395" s="354"/>
      <c r="G395" s="463"/>
      <c r="H395" s="184"/>
      <c r="I395" s="679"/>
    </row>
    <row r="396" spans="1:9" ht="15" customHeight="1">
      <c r="A396" s="353" t="s">
        <v>494</v>
      </c>
      <c r="B396" s="354"/>
      <c r="C396" s="354"/>
      <c r="D396" s="354"/>
      <c r="E396" s="354"/>
      <c r="F396" s="354"/>
      <c r="G396" s="463"/>
      <c r="H396" s="173">
        <f>Assoreamento!L4</f>
        <v>633500.32420933084</v>
      </c>
      <c r="I396" s="356" t="s">
        <v>13</v>
      </c>
    </row>
    <row r="397" spans="1:9" ht="15" customHeight="1">
      <c r="A397" s="353"/>
      <c r="B397" s="354"/>
      <c r="C397" s="354"/>
      <c r="D397" s="354"/>
      <c r="E397" s="354"/>
      <c r="F397" s="354"/>
      <c r="G397" s="463"/>
      <c r="H397" s="184"/>
      <c r="I397" s="356"/>
    </row>
    <row r="398" spans="1:9" ht="15" customHeight="1">
      <c r="A398" s="353" t="s">
        <v>495</v>
      </c>
      <c r="B398" s="354"/>
      <c r="C398" s="354"/>
      <c r="D398" s="354"/>
      <c r="E398" s="354"/>
      <c r="F398" s="354"/>
      <c r="G398" s="463"/>
      <c r="H398" s="191">
        <f>(H396*30/H258/H392)</f>
        <v>6.3909944323643364</v>
      </c>
      <c r="I398" s="356" t="s">
        <v>100</v>
      </c>
    </row>
    <row r="399" spans="1:9" ht="15" customHeight="1">
      <c r="A399" s="353"/>
      <c r="B399" s="354"/>
      <c r="C399" s="354"/>
      <c r="D399" s="354"/>
      <c r="E399" s="354"/>
      <c r="F399" s="354"/>
      <c r="G399" s="463"/>
      <c r="H399" s="187"/>
      <c r="I399" s="356"/>
    </row>
    <row r="400" spans="1:9" ht="15" customHeight="1">
      <c r="A400" s="353" t="s">
        <v>496</v>
      </c>
      <c r="B400" s="354"/>
      <c r="C400" s="354"/>
      <c r="D400" s="354"/>
      <c r="E400" s="489"/>
      <c r="F400" s="354"/>
      <c r="G400" s="463"/>
      <c r="H400" s="173">
        <f>Assoreamento!M4</f>
        <v>833817.1107320654</v>
      </c>
      <c r="I400" s="356" t="s">
        <v>13</v>
      </c>
    </row>
    <row r="401" spans="1:9" ht="15" customHeight="1">
      <c r="A401" s="353"/>
      <c r="B401" s="354"/>
      <c r="C401" s="354"/>
      <c r="D401" s="354"/>
      <c r="E401" s="354"/>
      <c r="F401" s="354"/>
      <c r="G401" s="463"/>
      <c r="H401" s="187"/>
      <c r="I401" s="356"/>
    </row>
    <row r="402" spans="1:9" ht="15" customHeight="1">
      <c r="A402" s="355" t="s">
        <v>497</v>
      </c>
      <c r="B402" s="378"/>
      <c r="C402" s="378"/>
      <c r="D402" s="378"/>
      <c r="E402" s="378"/>
      <c r="F402" s="378"/>
      <c r="G402" s="462"/>
      <c r="H402" s="325">
        <f>(H400*30/H258/H392)</f>
        <v>8.4118670640772759</v>
      </c>
      <c r="I402" s="357" t="s">
        <v>100</v>
      </c>
    </row>
    <row r="403" spans="1:9" ht="15" customHeight="1">
      <c r="A403" s="381"/>
      <c r="B403" s="680"/>
      <c r="C403" s="680"/>
      <c r="D403" s="680"/>
      <c r="E403" s="680"/>
      <c r="F403" s="680"/>
      <c r="G403" s="680"/>
      <c r="H403" s="681"/>
      <c r="I403" s="421"/>
    </row>
    <row r="404" spans="1:9" ht="15" customHeight="1">
      <c r="A404" s="200" t="s">
        <v>498</v>
      </c>
      <c r="B404" s="364"/>
      <c r="C404" s="364"/>
      <c r="D404" s="364"/>
      <c r="E404" s="364"/>
      <c r="F404" s="364"/>
      <c r="G404" s="376"/>
      <c r="H404" s="682">
        <f>SUM(H396,H400)</f>
        <v>1467317.4349413961</v>
      </c>
      <c r="I404" s="201" t="s">
        <v>13</v>
      </c>
    </row>
    <row r="405" spans="1:9" ht="15" customHeight="1">
      <c r="A405" s="57"/>
      <c r="B405" s="174"/>
      <c r="C405" s="174"/>
      <c r="D405" s="174"/>
      <c r="E405" s="683"/>
      <c r="F405" s="683"/>
      <c r="G405" s="683"/>
      <c r="H405" s="57"/>
      <c r="I405" s="684"/>
    </row>
    <row r="406" spans="1:9" ht="15" customHeight="1">
      <c r="A406" s="685" t="s">
        <v>499</v>
      </c>
      <c r="B406" s="364"/>
      <c r="C406" s="364"/>
      <c r="D406" s="364"/>
      <c r="E406" s="364"/>
      <c r="F406" s="364"/>
      <c r="G406" s="376"/>
      <c r="H406" s="686">
        <f>SUM(H394,H398,H402)</f>
        <v>125.03736762396687</v>
      </c>
      <c r="I406" s="356" t="s">
        <v>100</v>
      </c>
    </row>
    <row r="407" spans="1:9" ht="15" customHeight="1">
      <c r="A407" s="687"/>
      <c r="B407" s="352"/>
      <c r="C407" s="352"/>
      <c r="D407" s="352"/>
      <c r="E407" s="352"/>
      <c r="F407" s="352"/>
      <c r="G407" s="374"/>
      <c r="H407" s="352"/>
      <c r="I407" s="688"/>
    </row>
    <row r="408" spans="1:9" ht="15" customHeight="1">
      <c r="A408" s="200" t="s">
        <v>168</v>
      </c>
      <c r="B408" s="364"/>
      <c r="C408" s="364"/>
      <c r="D408" s="364"/>
      <c r="E408" s="364"/>
      <c r="F408" s="364"/>
      <c r="G408" s="376"/>
      <c r="H408" s="689">
        <f>H388*SUM(H390,H396,H400)</f>
        <v>97418350.180639371</v>
      </c>
      <c r="I408" s="494" t="s">
        <v>23</v>
      </c>
    </row>
    <row r="409" spans="1:9" ht="15" customHeight="1"/>
    <row r="410" spans="1:9" ht="15" customHeight="1"/>
    <row r="411" spans="1:9" ht="15" customHeight="1"/>
    <row r="412" spans="1:9" ht="15" customHeight="1"/>
    <row r="413" spans="1:9" ht="15" customHeight="1"/>
    <row r="414" spans="1:9" ht="15" customHeight="1">
      <c r="G414"/>
      <c r="I414"/>
    </row>
    <row r="415" spans="1:9" ht="15" customHeight="1">
      <c r="G415"/>
      <c r="I415"/>
    </row>
    <row r="416" spans="1:9" ht="15" customHeight="1">
      <c r="G416"/>
      <c r="I416"/>
    </row>
    <row r="417" spans="7:9" ht="15" customHeight="1">
      <c r="G417"/>
      <c r="I417"/>
    </row>
    <row r="418" spans="7:9" ht="15" customHeight="1">
      <c r="G418"/>
      <c r="I418"/>
    </row>
    <row r="419" spans="7:9" ht="15" customHeight="1">
      <c r="G419"/>
      <c r="I419"/>
    </row>
    <row r="420" spans="7:9" ht="15" customHeight="1">
      <c r="G420"/>
      <c r="I420"/>
    </row>
    <row r="421" spans="7:9" ht="15" customHeight="1">
      <c r="G421"/>
      <c r="I421"/>
    </row>
    <row r="422" spans="7:9" ht="15" customHeight="1">
      <c r="G422"/>
      <c r="I422"/>
    </row>
    <row r="423" spans="7:9" ht="15" customHeight="1">
      <c r="G423"/>
      <c r="I423"/>
    </row>
    <row r="424" spans="7:9" ht="15" customHeight="1">
      <c r="G424"/>
      <c r="I424"/>
    </row>
    <row r="425" spans="7:9" ht="15" customHeight="1">
      <c r="G425"/>
      <c r="I425"/>
    </row>
    <row r="426" spans="7:9" ht="15" customHeight="1">
      <c r="G426"/>
      <c r="I426"/>
    </row>
    <row r="427" spans="7:9" ht="15" customHeight="1">
      <c r="G427"/>
      <c r="I427"/>
    </row>
    <row r="428" spans="7:9" ht="15" customHeight="1">
      <c r="G428"/>
      <c r="I428"/>
    </row>
    <row r="429" spans="7:9" ht="15" customHeight="1">
      <c r="G429"/>
      <c r="I429"/>
    </row>
    <row r="430" spans="7:9" ht="15" customHeight="1"/>
    <row r="431" spans="7:9" ht="15" customHeight="1"/>
    <row r="432" spans="7:9" ht="15" customHeight="1"/>
    <row r="433" spans="1:9" ht="15" customHeight="1"/>
    <row r="434" spans="1:9" ht="15" customHeight="1">
      <c r="A434" s="101"/>
      <c r="B434" s="85"/>
      <c r="C434" s="85"/>
      <c r="D434" s="85"/>
      <c r="E434" s="85"/>
      <c r="F434" s="85"/>
      <c r="G434" s="85"/>
      <c r="H434" s="102"/>
      <c r="I434" s="102"/>
    </row>
    <row r="435" spans="1:9" ht="15" customHeight="1">
      <c r="A435" s="93"/>
      <c r="B435" s="93"/>
      <c r="C435" s="93"/>
      <c r="D435" s="93"/>
      <c r="E435" s="93"/>
      <c r="F435" s="93"/>
      <c r="G435" s="94"/>
      <c r="H435" s="93"/>
      <c r="I435" s="94"/>
    </row>
    <row r="436" spans="1:9" ht="15" customHeight="1">
      <c r="A436" s="766" t="str">
        <f>A34</f>
        <v>Canal Interno e Bacia de Manobra</v>
      </c>
      <c r="B436" s="767"/>
      <c r="C436" s="767"/>
      <c r="D436" s="767"/>
      <c r="E436" s="767"/>
      <c r="F436" s="767"/>
      <c r="G436" s="767"/>
      <c r="H436" s="767"/>
      <c r="I436" s="768"/>
    </row>
    <row r="437" spans="1:9" ht="15" customHeight="1">
      <c r="A437" s="167"/>
      <c r="B437" s="167"/>
      <c r="C437" s="167"/>
      <c r="D437" s="167"/>
      <c r="E437" s="167"/>
      <c r="F437" s="167"/>
      <c r="G437" s="168"/>
      <c r="H437" s="167"/>
      <c r="I437" s="168"/>
    </row>
    <row r="438" spans="1:9" ht="15" customHeight="1">
      <c r="A438" s="733">
        <f>H446</f>
        <v>11000</v>
      </c>
      <c r="B438" s="733"/>
      <c r="C438" s="733"/>
      <c r="D438" s="733"/>
      <c r="E438" s="733"/>
      <c r="F438" s="733"/>
      <c r="G438" s="733"/>
      <c r="H438" s="733"/>
      <c r="I438" s="733"/>
    </row>
    <row r="439" spans="1:9" ht="15" customHeight="1">
      <c r="A439" s="167"/>
      <c r="B439" s="176"/>
      <c r="C439" s="176"/>
      <c r="D439" s="176"/>
      <c r="E439" s="176"/>
      <c r="F439" s="176"/>
      <c r="G439" s="176"/>
      <c r="H439" s="176"/>
      <c r="I439" s="176"/>
    </row>
    <row r="440" spans="1:9" ht="15" customHeight="1">
      <c r="A440" s="164" t="s">
        <v>30</v>
      </c>
      <c r="B440" s="178"/>
      <c r="C440" s="178"/>
      <c r="D440" s="178"/>
      <c r="E440" s="178"/>
      <c r="F440" s="178"/>
      <c r="G440" s="179"/>
      <c r="H440" s="180">
        <f>ROUND(MAX(RESUMO!$B$4:$D$4),2)</f>
        <v>3.25</v>
      </c>
      <c r="I440" s="181" t="s">
        <v>23</v>
      </c>
    </row>
    <row r="441" spans="1:9" ht="15" customHeight="1">
      <c r="A441" s="165"/>
      <c r="B441" s="182"/>
      <c r="C441" s="182"/>
      <c r="D441" s="182"/>
      <c r="E441" s="182"/>
      <c r="F441" s="182"/>
      <c r="G441" s="183"/>
      <c r="H441" s="184"/>
      <c r="I441" s="185"/>
    </row>
    <row r="442" spans="1:9" ht="15" customHeight="1">
      <c r="A442" s="165" t="s">
        <v>31</v>
      </c>
      <c r="B442" s="182"/>
      <c r="C442" s="182"/>
      <c r="D442" s="182"/>
      <c r="E442" s="182"/>
      <c r="F442" s="182"/>
      <c r="G442" s="183"/>
      <c r="H442" s="186" t="s">
        <v>32</v>
      </c>
      <c r="I442" s="185" t="s">
        <v>38</v>
      </c>
    </row>
    <row r="443" spans="1:9" ht="15" customHeight="1">
      <c r="A443" s="165"/>
      <c r="B443" s="182"/>
      <c r="C443" s="182"/>
      <c r="D443" s="182"/>
      <c r="E443" s="182"/>
      <c r="F443" s="182"/>
      <c r="G443" s="183"/>
      <c r="H443" s="187"/>
      <c r="I443" s="185"/>
    </row>
    <row r="444" spans="1:9" ht="15" customHeight="1">
      <c r="A444" s="165" t="s">
        <v>88</v>
      </c>
      <c r="B444" s="182"/>
      <c r="C444" s="182" t="s">
        <v>77</v>
      </c>
      <c r="D444" s="182"/>
      <c r="E444" s="182"/>
      <c r="F444" s="182"/>
      <c r="G444" s="183"/>
      <c r="H444" s="188">
        <f>VLOOKUP(H446,RESUMO!$AB$7:$AK$29,7,FALSE)</f>
        <v>83616000</v>
      </c>
      <c r="I444" s="185" t="s">
        <v>21</v>
      </c>
    </row>
    <row r="445" spans="1:9" ht="15" customHeight="1">
      <c r="A445" s="165"/>
      <c r="B445" s="182"/>
      <c r="C445" s="182"/>
      <c r="D445" s="182"/>
      <c r="E445" s="182"/>
      <c r="F445" s="182"/>
      <c r="G445" s="183"/>
      <c r="H445" s="184"/>
      <c r="I445" s="185"/>
    </row>
    <row r="446" spans="1:9" ht="15" customHeight="1">
      <c r="A446" s="165" t="s">
        <v>33</v>
      </c>
      <c r="B446" s="182"/>
      <c r="C446" s="182"/>
      <c r="D446" s="182" t="s">
        <v>77</v>
      </c>
      <c r="E446" s="182"/>
      <c r="F446" s="182"/>
      <c r="G446" s="183"/>
      <c r="H446" s="189">
        <f>H110</f>
        <v>11000</v>
      </c>
      <c r="I446" s="185" t="s">
        <v>13</v>
      </c>
    </row>
    <row r="447" spans="1:9" ht="15" customHeight="1">
      <c r="A447" s="165"/>
      <c r="B447" s="182"/>
      <c r="C447" s="182"/>
      <c r="D447" s="182"/>
      <c r="E447" s="182"/>
      <c r="F447" s="182"/>
      <c r="G447" s="183"/>
      <c r="H447" s="184"/>
      <c r="I447" s="185"/>
    </row>
    <row r="448" spans="1:9" ht="15" customHeight="1">
      <c r="A448" s="165" t="s">
        <v>393</v>
      </c>
      <c r="B448" s="182"/>
      <c r="C448" s="182"/>
      <c r="D448" s="182"/>
      <c r="E448" s="182"/>
      <c r="F448" s="182"/>
      <c r="G448" s="183"/>
      <c r="H448" s="186">
        <f>VLOOKUP(H446,RESUMO!$AB$7:$AL$29,11,FALSE)</f>
        <v>10</v>
      </c>
      <c r="I448" s="185" t="s">
        <v>14</v>
      </c>
    </row>
    <row r="449" spans="1:9" ht="15" customHeight="1">
      <c r="A449" s="165"/>
      <c r="B449" s="182"/>
      <c r="C449" s="182"/>
      <c r="D449" s="182"/>
      <c r="E449" s="182"/>
      <c r="F449" s="182"/>
      <c r="G449" s="183"/>
      <c r="H449" s="184"/>
      <c r="I449" s="185"/>
    </row>
    <row r="450" spans="1:9" ht="15" customHeight="1">
      <c r="A450" s="165" t="s">
        <v>34</v>
      </c>
      <c r="B450" s="182"/>
      <c r="C450" s="182"/>
      <c r="D450" s="182"/>
      <c r="E450" s="182"/>
      <c r="F450" s="182"/>
      <c r="G450" s="183"/>
      <c r="H450" s="232">
        <f>VLOOKUP(A436,$A$33:$H$36,5,FALSE)</f>
        <v>13.5</v>
      </c>
      <c r="I450" s="185" t="s">
        <v>4</v>
      </c>
    </row>
    <row r="451" spans="1:9" ht="15" customHeight="1">
      <c r="A451" s="165"/>
      <c r="B451" s="182"/>
      <c r="C451" s="182"/>
      <c r="D451" s="182"/>
      <c r="E451" s="182"/>
      <c r="F451" s="182"/>
      <c r="G451" s="183"/>
      <c r="H451" s="184"/>
      <c r="I451" s="185"/>
    </row>
    <row r="452" spans="1:9" ht="15" customHeight="1">
      <c r="A452" s="165" t="s">
        <v>111</v>
      </c>
      <c r="B452" s="182"/>
      <c r="C452" s="182" t="s">
        <v>36</v>
      </c>
      <c r="D452" s="182"/>
      <c r="E452" s="182"/>
      <c r="F452" s="182"/>
      <c r="G452" s="183"/>
      <c r="H452" s="189">
        <f>SUM(VLOOKUP(H446,RESUMO!$AB$7:$AK$29,6,FALSE),VLOOKUP(H446,RESUMO!$AB$7:$AK$29,5,FALSE),VLOOKUP(H446,RESUMO!$AB$7:$AK$29,4,FALSE))</f>
        <v>16720</v>
      </c>
      <c r="I452" s="185" t="s">
        <v>37</v>
      </c>
    </row>
    <row r="453" spans="1:9" ht="15" customHeight="1">
      <c r="A453" s="165"/>
      <c r="B453" s="182"/>
      <c r="C453" s="182"/>
      <c r="D453" s="182"/>
      <c r="E453" s="182"/>
      <c r="F453" s="182"/>
      <c r="G453" s="183"/>
      <c r="H453" s="184"/>
      <c r="I453" s="185"/>
    </row>
    <row r="454" spans="1:9" ht="15" customHeight="1">
      <c r="A454" s="165" t="s">
        <v>76</v>
      </c>
      <c r="B454" s="182"/>
      <c r="C454" s="182"/>
      <c r="D454" s="182"/>
      <c r="E454" s="182"/>
      <c r="F454" s="182"/>
      <c r="G454" s="183"/>
      <c r="H454" s="190">
        <f>RESUMO!$B$13</f>
        <v>724</v>
      </c>
      <c r="I454" s="185" t="s">
        <v>23</v>
      </c>
    </row>
    <row r="455" spans="1:9" ht="15" customHeight="1">
      <c r="A455" s="165"/>
      <c r="B455" s="182"/>
      <c r="C455" s="182"/>
      <c r="D455" s="182"/>
      <c r="E455" s="182"/>
      <c r="F455" s="182"/>
      <c r="G455" s="183"/>
      <c r="H455" s="184"/>
      <c r="I455" s="185"/>
    </row>
    <row r="456" spans="1:9" ht="15" customHeight="1">
      <c r="A456" s="165" t="s">
        <v>180</v>
      </c>
      <c r="B456" s="182"/>
      <c r="C456" s="182"/>
      <c r="D456" s="182"/>
      <c r="E456" s="182"/>
      <c r="F456" s="182"/>
      <c r="G456" s="183"/>
      <c r="H456" s="190">
        <f>ROUND(MAX(RESUMO!$B$8:$D$8),2)</f>
        <v>2.56</v>
      </c>
      <c r="I456" s="185" t="s">
        <v>23</v>
      </c>
    </row>
    <row r="457" spans="1:9" ht="15" customHeight="1">
      <c r="A457" s="165"/>
      <c r="B457" s="182"/>
      <c r="C457" s="182"/>
      <c r="D457" s="182"/>
      <c r="E457" s="182"/>
      <c r="F457" s="182"/>
      <c r="G457" s="183"/>
      <c r="H457" s="191"/>
      <c r="I457" s="185"/>
    </row>
    <row r="458" spans="1:9" ht="15" customHeight="1">
      <c r="A458" s="165" t="s">
        <v>119</v>
      </c>
      <c r="B458" s="182"/>
      <c r="C458" s="182"/>
      <c r="D458" s="182"/>
      <c r="E458" s="182"/>
      <c r="F458" s="182"/>
      <c r="G458" s="183"/>
      <c r="H458" s="425" t="s">
        <v>412</v>
      </c>
      <c r="I458" s="426"/>
    </row>
    <row r="459" spans="1:9" ht="15" customHeight="1">
      <c r="A459" s="165"/>
      <c r="B459" s="182"/>
      <c r="C459" s="182"/>
      <c r="D459" s="182"/>
      <c r="E459" s="182"/>
      <c r="F459" s="182"/>
      <c r="G459" s="183"/>
      <c r="H459" s="191"/>
      <c r="I459" s="185"/>
    </row>
    <row r="460" spans="1:9" ht="15" customHeight="1">
      <c r="A460" s="166" t="s">
        <v>170</v>
      </c>
      <c r="B460" s="192"/>
      <c r="C460" s="192"/>
      <c r="D460" s="192"/>
      <c r="E460" s="192"/>
      <c r="F460" s="192"/>
      <c r="G460" s="193"/>
      <c r="H460" s="194">
        <f>VLOOKUP(A436,$A$33:$H$36,8,FALSE)+VLOOKUP(A436,$A$55:$G$58,6,FALSE)</f>
        <v>5777037.71</v>
      </c>
      <c r="I460" s="195" t="s">
        <v>13</v>
      </c>
    </row>
    <row r="461" spans="1:9" ht="15" customHeight="1">
      <c r="A461" s="167"/>
      <c r="B461" s="167"/>
      <c r="C461" s="167"/>
      <c r="D461" s="167"/>
      <c r="E461" s="167"/>
      <c r="F461" s="167"/>
      <c r="G461" s="168"/>
      <c r="H461" s="167"/>
      <c r="I461" s="168"/>
    </row>
    <row r="462" spans="1:9" ht="15" customHeight="1">
      <c r="A462" s="196" t="s">
        <v>39</v>
      </c>
      <c r="B462" s="167" t="s">
        <v>40</v>
      </c>
      <c r="C462" s="167"/>
      <c r="D462" s="167"/>
      <c r="E462" s="167"/>
      <c r="F462" s="167"/>
      <c r="G462" s="168"/>
      <c r="H462" s="167"/>
      <c r="I462" s="168"/>
    </row>
    <row r="463" spans="1:9" ht="15" customHeight="1"/>
    <row r="464" spans="1:9" ht="15" customHeight="1"/>
    <row r="465" spans="1:9" ht="15" customHeight="1">
      <c r="A465" s="738" t="s">
        <v>194</v>
      </c>
      <c r="B465" s="738"/>
      <c r="C465" s="738"/>
      <c r="D465" s="738"/>
      <c r="E465" s="738"/>
      <c r="F465" s="738"/>
      <c r="G465" s="738"/>
      <c r="H465" s="738"/>
      <c r="I465" s="738"/>
    </row>
    <row r="466" spans="1:9" ht="15" customHeight="1">
      <c r="A466" s="167"/>
      <c r="B466" s="167"/>
      <c r="C466" s="167"/>
      <c r="D466" s="167"/>
      <c r="E466" s="167"/>
      <c r="F466" s="167"/>
      <c r="G466" s="168"/>
      <c r="H466" s="167"/>
      <c r="I466" s="168"/>
    </row>
    <row r="467" spans="1:9" ht="15" customHeight="1">
      <c r="A467" s="295" t="str">
        <f>$A$33</f>
        <v>Canal Externo</v>
      </c>
      <c r="B467" s="167"/>
      <c r="C467" s="167"/>
      <c r="D467" s="167"/>
      <c r="E467" s="167"/>
      <c r="F467" s="167"/>
      <c r="G467" s="168"/>
      <c r="H467" s="107">
        <f>$H$172</f>
        <v>590320.06079999998</v>
      </c>
      <c r="I467" s="59" t="s">
        <v>26</v>
      </c>
    </row>
    <row r="468" spans="1:9" ht="15" customHeight="1">
      <c r="A468" s="167"/>
      <c r="B468" s="167"/>
      <c r="C468" s="167"/>
      <c r="D468" s="167"/>
      <c r="E468" s="167"/>
      <c r="F468" s="167"/>
      <c r="G468" s="168"/>
      <c r="H468" s="167"/>
      <c r="I468" s="168"/>
    </row>
    <row r="469" spans="1:9" ht="15" customHeight="1">
      <c r="A469" s="167"/>
      <c r="B469" s="167"/>
      <c r="C469" s="167"/>
      <c r="D469" s="167"/>
      <c r="E469" s="167"/>
      <c r="F469" s="167"/>
      <c r="G469" s="168"/>
      <c r="H469" s="167"/>
      <c r="I469" s="168"/>
    </row>
    <row r="470" spans="1:9" ht="15" customHeight="1">
      <c r="A470" s="718" t="s">
        <v>198</v>
      </c>
      <c r="B470" s="718"/>
      <c r="C470" s="718"/>
      <c r="D470" s="718"/>
      <c r="E470" s="718"/>
      <c r="F470" s="718"/>
      <c r="G470" s="718"/>
      <c r="H470" s="718"/>
      <c r="I470" s="718"/>
    </row>
    <row r="471" spans="1:9" ht="15" customHeight="1">
      <c r="A471" s="167"/>
      <c r="B471" s="167"/>
      <c r="C471" s="167"/>
      <c r="D471" s="167"/>
      <c r="E471" s="167"/>
      <c r="F471" s="167"/>
      <c r="G471" s="168"/>
      <c r="H471" s="167"/>
      <c r="I471" s="168"/>
    </row>
    <row r="472" spans="1:9" ht="15" customHeight="1">
      <c r="A472" s="295" t="str">
        <f>$A$33</f>
        <v>Canal Externo</v>
      </c>
      <c r="B472" s="167"/>
      <c r="C472" s="167"/>
      <c r="D472" s="167"/>
      <c r="E472" s="167"/>
      <c r="F472" s="167"/>
      <c r="G472" s="168"/>
      <c r="H472" s="107">
        <f>$H$322</f>
        <v>4734089.9493887993</v>
      </c>
      <c r="I472" s="59" t="s">
        <v>26</v>
      </c>
    </row>
    <row r="473" spans="1:9" ht="15" customHeight="1">
      <c r="A473" s="167"/>
      <c r="B473" s="167"/>
      <c r="C473" s="167"/>
      <c r="D473" s="167"/>
      <c r="E473" s="167"/>
      <c r="F473" s="167"/>
      <c r="G473" s="168"/>
      <c r="H473" s="167"/>
      <c r="I473" s="168"/>
    </row>
    <row r="474" spans="1:9" ht="15" customHeight="1">
      <c r="A474" s="167"/>
      <c r="B474" s="167"/>
      <c r="C474" s="167"/>
      <c r="D474" s="167"/>
      <c r="E474" s="167"/>
      <c r="F474" s="167"/>
      <c r="G474" s="168"/>
      <c r="H474" s="167"/>
      <c r="I474" s="168"/>
    </row>
    <row r="475" spans="1:9" ht="15" customHeight="1">
      <c r="A475" s="738" t="s">
        <v>196</v>
      </c>
      <c r="B475" s="738"/>
      <c r="C475" s="738"/>
      <c r="D475" s="738"/>
      <c r="E475" s="738"/>
      <c r="F475" s="738"/>
      <c r="G475" s="738"/>
      <c r="H475" s="738"/>
      <c r="I475" s="738"/>
    </row>
    <row r="476" spans="1:9" ht="15" customHeight="1">
      <c r="A476" s="167"/>
      <c r="B476" s="167"/>
      <c r="C476" s="167"/>
      <c r="D476" s="167"/>
      <c r="E476" s="167"/>
      <c r="F476" s="167"/>
      <c r="G476" s="168"/>
      <c r="H476" s="167"/>
      <c r="I476" s="168"/>
    </row>
    <row r="477" spans="1:9" ht="15" customHeight="1">
      <c r="A477" s="295" t="str">
        <f>$A$33</f>
        <v>Canal Externo</v>
      </c>
      <c r="B477" s="167"/>
      <c r="C477" s="167"/>
      <c r="D477" s="167"/>
      <c r="E477" s="167"/>
      <c r="F477" s="167"/>
      <c r="G477" s="168"/>
      <c r="H477" s="107">
        <f>$H$378</f>
        <v>11684269.271794345</v>
      </c>
      <c r="I477" s="59" t="s">
        <v>26</v>
      </c>
    </row>
    <row r="478" spans="1:9" ht="15" customHeight="1">
      <c r="A478" s="105"/>
      <c r="B478" s="105"/>
      <c r="C478" s="105"/>
      <c r="D478" s="105"/>
      <c r="E478" s="105"/>
      <c r="F478" s="105"/>
      <c r="G478" s="106"/>
      <c r="H478" s="105"/>
      <c r="I478" s="106"/>
    </row>
    <row r="479" spans="1:9" ht="15" customHeight="1"/>
    <row r="480" spans="1:9" ht="15" customHeight="1"/>
    <row r="481" spans="1:9" ht="15" customHeight="1">
      <c r="F481" s="167"/>
      <c r="G481" s="168"/>
      <c r="H481" s="167"/>
      <c r="I481" s="168"/>
    </row>
    <row r="482" spans="1:9" ht="15" customHeight="1">
      <c r="F482" s="167"/>
      <c r="G482" s="168"/>
      <c r="H482" s="167"/>
      <c r="I482" s="168"/>
    </row>
    <row r="483" spans="1:9" ht="15" customHeight="1">
      <c r="A483" s="20"/>
      <c r="B483" s="21"/>
      <c r="C483" s="21"/>
      <c r="D483" s="21"/>
      <c r="E483" s="21"/>
      <c r="I483" s="168"/>
    </row>
    <row r="484" spans="1:9" ht="15" customHeight="1">
      <c r="A484" s="101"/>
      <c r="B484" s="85"/>
      <c r="C484" s="85"/>
      <c r="D484" s="85"/>
      <c r="E484" s="85"/>
      <c r="F484" s="85"/>
      <c r="G484" s="85"/>
      <c r="H484" s="102"/>
      <c r="I484" s="102"/>
    </row>
    <row r="485" spans="1:9" ht="15" customHeight="1">
      <c r="A485" s="111"/>
      <c r="B485" s="112"/>
      <c r="C485" s="112"/>
      <c r="D485" s="112"/>
      <c r="E485" s="112"/>
      <c r="F485" s="93"/>
      <c r="G485" s="94"/>
      <c r="H485" s="93"/>
      <c r="I485" s="177"/>
    </row>
    <row r="486" spans="1:9" ht="15" customHeight="1">
      <c r="A486" s="738" t="s">
        <v>195</v>
      </c>
      <c r="B486" s="738"/>
      <c r="C486" s="738"/>
      <c r="D486" s="738"/>
      <c r="E486" s="738"/>
      <c r="F486" s="738"/>
      <c r="G486" s="738"/>
      <c r="H486" s="738"/>
      <c r="I486" s="738"/>
    </row>
    <row r="487" spans="1:9" ht="15" customHeight="1">
      <c r="A487" s="167"/>
      <c r="B487" s="167"/>
      <c r="C487" s="167"/>
      <c r="D487" s="167"/>
      <c r="E487" s="167"/>
      <c r="F487" s="167"/>
      <c r="G487" s="168"/>
      <c r="H487" s="167"/>
      <c r="I487" s="168"/>
    </row>
    <row r="488" spans="1:9" ht="15" customHeight="1">
      <c r="A488" s="164"/>
      <c r="B488" s="178"/>
      <c r="C488" s="178"/>
      <c r="D488" s="178"/>
      <c r="E488" s="178"/>
      <c r="F488" s="178"/>
      <c r="G488" s="179"/>
      <c r="H488" s="226"/>
      <c r="I488" s="181"/>
    </row>
    <row r="489" spans="1:9" ht="15" customHeight="1">
      <c r="A489" s="4" t="s">
        <v>20</v>
      </c>
      <c r="B489" s="5"/>
      <c r="C489" s="5"/>
      <c r="D489" s="5"/>
      <c r="E489" s="5"/>
      <c r="F489" s="5"/>
      <c r="G489" s="6"/>
      <c r="H489" s="12">
        <f>H110</f>
        <v>11000</v>
      </c>
      <c r="I489" s="185" t="s">
        <v>13</v>
      </c>
    </row>
    <row r="490" spans="1:9" ht="15" customHeight="1">
      <c r="A490" s="165" t="s">
        <v>29</v>
      </c>
      <c r="B490" s="182"/>
      <c r="C490" s="182"/>
      <c r="D490" s="182"/>
      <c r="E490" s="182"/>
      <c r="F490" s="182"/>
      <c r="G490" s="183"/>
      <c r="H490" s="13">
        <f>H489</f>
        <v>11000</v>
      </c>
      <c r="I490" s="185" t="s">
        <v>13</v>
      </c>
    </row>
    <row r="491" spans="1:9" ht="15" customHeight="1">
      <c r="A491" s="165" t="s">
        <v>0</v>
      </c>
      <c r="B491" s="182"/>
      <c r="C491" s="182"/>
      <c r="D491" s="182"/>
      <c r="F491" s="424">
        <v>0.75</v>
      </c>
      <c r="G491" s="172"/>
      <c r="H491" s="380">
        <f>F491</f>
        <v>0.75</v>
      </c>
      <c r="I491" s="185" t="s">
        <v>95</v>
      </c>
    </row>
    <row r="492" spans="1:9" ht="15" customHeight="1">
      <c r="A492" s="165" t="s">
        <v>1</v>
      </c>
      <c r="B492" s="182"/>
      <c r="C492" s="182"/>
      <c r="D492" s="182"/>
      <c r="F492" s="427">
        <v>0.17499999999999999</v>
      </c>
      <c r="G492" s="172"/>
      <c r="H492" s="209">
        <f>1/(1+F492)</f>
        <v>0.85106382978723405</v>
      </c>
      <c r="I492" s="185" t="s">
        <v>95</v>
      </c>
    </row>
    <row r="493" spans="1:9" ht="15" customHeight="1">
      <c r="A493" s="165" t="s">
        <v>19</v>
      </c>
      <c r="B493" s="182"/>
      <c r="C493" s="182"/>
      <c r="D493" s="182"/>
      <c r="E493" s="182"/>
      <c r="F493" s="227"/>
      <c r="G493" s="183"/>
      <c r="H493" s="15">
        <f>(H490*H491)*H492</f>
        <v>7021.2765957446809</v>
      </c>
      <c r="I493" s="185" t="s">
        <v>13</v>
      </c>
    </row>
    <row r="494" spans="1:9" ht="15" customHeight="1">
      <c r="A494" s="165"/>
      <c r="B494" s="182"/>
      <c r="C494" s="182"/>
      <c r="D494" s="182"/>
      <c r="E494" s="182"/>
      <c r="F494" s="182"/>
      <c r="G494" s="183"/>
      <c r="H494" s="184"/>
      <c r="I494" s="185"/>
    </row>
    <row r="495" spans="1:9" ht="15" customHeight="1">
      <c r="A495" s="165" t="s">
        <v>2</v>
      </c>
      <c r="B495" s="182"/>
      <c r="C495" s="182"/>
      <c r="D495" s="182"/>
      <c r="E495" s="182"/>
      <c r="F495" s="182"/>
      <c r="G495" s="183"/>
      <c r="H495" s="184"/>
      <c r="I495" s="185"/>
    </row>
    <row r="496" spans="1:9" ht="15" customHeight="1">
      <c r="A496" s="165" t="s">
        <v>3</v>
      </c>
      <c r="B496" s="182"/>
      <c r="C496" s="182"/>
      <c r="D496" s="182"/>
      <c r="E496" s="182"/>
      <c r="F496" s="182"/>
      <c r="G496" s="183"/>
      <c r="H496" s="65">
        <f>H450</f>
        <v>13.5</v>
      </c>
      <c r="I496" s="185" t="s">
        <v>4</v>
      </c>
    </row>
    <row r="497" spans="1:9" ht="15" customHeight="1">
      <c r="A497" s="165" t="s">
        <v>7</v>
      </c>
      <c r="B497" s="182"/>
      <c r="C497" s="182"/>
      <c r="D497" s="182"/>
      <c r="E497" s="182"/>
      <c r="F497" s="182"/>
      <c r="G497" s="183"/>
      <c r="H497" s="184">
        <f>H112</f>
        <v>10</v>
      </c>
      <c r="I497" s="185" t="s">
        <v>14</v>
      </c>
    </row>
    <row r="498" spans="1:9" ht="15" customHeight="1">
      <c r="A498" s="165" t="s">
        <v>9</v>
      </c>
      <c r="B498" s="182"/>
      <c r="C498" s="182"/>
      <c r="D498" s="182"/>
      <c r="E498" s="182"/>
      <c r="F498" s="182"/>
      <c r="G498" s="183"/>
      <c r="H498" s="64">
        <f>H496/H497*2</f>
        <v>2.7</v>
      </c>
      <c r="I498" s="185" t="s">
        <v>15</v>
      </c>
    </row>
    <row r="499" spans="1:9" ht="15" customHeight="1">
      <c r="A499" s="165" t="s">
        <v>6</v>
      </c>
      <c r="B499" s="182"/>
      <c r="C499" s="182"/>
      <c r="D499" s="182"/>
      <c r="E499" s="182"/>
      <c r="F499" s="7"/>
      <c r="G499" s="172"/>
      <c r="H499" s="229">
        <v>1</v>
      </c>
      <c r="I499" s="185" t="s">
        <v>15</v>
      </c>
    </row>
    <row r="500" spans="1:9" ht="15" customHeight="1">
      <c r="A500" s="165" t="s">
        <v>12</v>
      </c>
      <c r="B500" s="182"/>
      <c r="C500" s="182"/>
      <c r="D500" s="182"/>
      <c r="E500" s="182"/>
      <c r="F500" s="7"/>
      <c r="G500" s="172"/>
      <c r="H500" s="184">
        <v>0.2</v>
      </c>
      <c r="I500" s="185" t="s">
        <v>15</v>
      </c>
    </row>
    <row r="501" spans="1:9" ht="15" customHeight="1">
      <c r="A501" s="165" t="s">
        <v>8</v>
      </c>
      <c r="B501" s="182"/>
      <c r="C501" s="182"/>
      <c r="D501" s="182"/>
      <c r="E501" s="182"/>
      <c r="F501" s="182"/>
      <c r="G501" s="172"/>
      <c r="H501" s="46">
        <f>SUM(H498:H499:H500)</f>
        <v>3.9000000000000004</v>
      </c>
      <c r="I501" s="185" t="s">
        <v>15</v>
      </c>
    </row>
    <row r="502" spans="1:9" ht="15" customHeight="1">
      <c r="A502" s="165"/>
      <c r="B502" s="182"/>
      <c r="C502" s="182"/>
      <c r="D502" s="182"/>
      <c r="E502" s="182"/>
      <c r="F502" s="182"/>
      <c r="G502" s="172"/>
      <c r="H502" s="184"/>
      <c r="I502" s="185"/>
    </row>
    <row r="503" spans="1:9" ht="15" customHeight="1">
      <c r="A503" s="165" t="s">
        <v>10</v>
      </c>
      <c r="B503" s="182"/>
      <c r="C503" s="182"/>
      <c r="D503" s="182"/>
      <c r="E503" s="182"/>
      <c r="F503" s="7"/>
      <c r="G503" s="172"/>
      <c r="H503" s="184">
        <f>H254</f>
        <v>576</v>
      </c>
      <c r="I503" s="185" t="s">
        <v>16</v>
      </c>
    </row>
    <row r="504" spans="1:9" ht="15" customHeight="1">
      <c r="A504" s="165"/>
      <c r="B504" s="182"/>
      <c r="C504" s="182"/>
      <c r="D504" s="182"/>
      <c r="E504" s="182"/>
      <c r="F504" s="182"/>
      <c r="G504" s="183"/>
      <c r="H504" s="184"/>
      <c r="I504" s="185"/>
    </row>
    <row r="505" spans="1:9" ht="15" customHeight="1">
      <c r="A505" s="165" t="s">
        <v>11</v>
      </c>
      <c r="B505" s="182"/>
      <c r="C505" s="182"/>
      <c r="D505" s="182"/>
      <c r="E505" s="182"/>
      <c r="F505" s="182"/>
      <c r="G505" s="183"/>
      <c r="H505" s="14">
        <f>H503/H501</f>
        <v>147.69230769230768</v>
      </c>
      <c r="I505" s="185" t="s">
        <v>17</v>
      </c>
    </row>
    <row r="506" spans="1:9" ht="15" customHeight="1">
      <c r="A506" s="165"/>
      <c r="B506" s="182"/>
      <c r="C506" s="182"/>
      <c r="D506" s="182"/>
      <c r="E506" s="182"/>
      <c r="F506" s="182"/>
      <c r="G506" s="183"/>
      <c r="H506" s="184"/>
      <c r="I506" s="185"/>
    </row>
    <row r="507" spans="1:9" s="351" customFormat="1" ht="15" customHeight="1">
      <c r="A507" s="165" t="s">
        <v>407</v>
      </c>
      <c r="B507" s="182"/>
      <c r="C507" s="182"/>
      <c r="D507" s="182"/>
      <c r="E507" s="182"/>
      <c r="F507" s="182"/>
      <c r="G507" s="183"/>
      <c r="H507" s="414">
        <f>H493*H505</f>
        <v>1036988.543371522</v>
      </c>
      <c r="I507" s="185" t="s">
        <v>18</v>
      </c>
    </row>
    <row r="508" spans="1:9" s="351" customFormat="1" ht="15" customHeight="1">
      <c r="A508" s="166"/>
      <c r="B508" s="192"/>
      <c r="C508" s="192"/>
      <c r="D508" s="192"/>
      <c r="E508" s="192"/>
      <c r="F508" s="192"/>
      <c r="G508" s="193"/>
      <c r="H508" s="230"/>
      <c r="I508" s="195"/>
    </row>
    <row r="509" spans="1:9" s="351" customFormat="1" ht="15" customHeight="1">
      <c r="A509"/>
      <c r="B509"/>
      <c r="C509"/>
      <c r="D509"/>
      <c r="E509"/>
      <c r="F509"/>
      <c r="G509" s="237"/>
      <c r="H509"/>
      <c r="I509" s="237"/>
    </row>
    <row r="510" spans="1:9" ht="15" customHeight="1"/>
    <row r="511" spans="1:9" ht="15" customHeight="1">
      <c r="A511" s="770" t="str">
        <f>A436</f>
        <v>Canal Interno e Bacia de Manobra</v>
      </c>
      <c r="B511" s="770"/>
      <c r="C511" s="770"/>
      <c r="D511" s="770"/>
      <c r="E511" s="770"/>
      <c r="F511" s="770"/>
      <c r="G511" s="770"/>
      <c r="H511" s="770"/>
      <c r="I511" s="770"/>
    </row>
    <row r="512" spans="1:9" ht="15" customHeight="1">
      <c r="A512" s="55"/>
      <c r="B512" s="55"/>
      <c r="C512" s="55"/>
      <c r="D512" s="55"/>
      <c r="E512" s="55"/>
      <c r="F512" s="55"/>
      <c r="G512" s="55"/>
      <c r="H512" s="55"/>
      <c r="I512" s="55"/>
    </row>
    <row r="513" spans="1:9" ht="15" customHeight="1">
      <c r="A513" s="358" t="s">
        <v>368</v>
      </c>
      <c r="B513" s="377"/>
      <c r="C513" s="377"/>
      <c r="D513" s="377"/>
      <c r="E513" s="377"/>
      <c r="F513" s="377"/>
      <c r="G513" s="465"/>
      <c r="H513" s="677">
        <f>ROUND(H477/H507,2)</f>
        <v>11.27</v>
      </c>
      <c r="I513" s="359" t="s">
        <v>107</v>
      </c>
    </row>
    <row r="514" spans="1:9" ht="15" customHeight="1">
      <c r="A514" s="353"/>
      <c r="B514" s="354"/>
      <c r="C514" s="354"/>
      <c r="D514" s="354"/>
      <c r="E514" s="354"/>
      <c r="F514" s="354"/>
      <c r="G514" s="463"/>
      <c r="H514" s="184"/>
      <c r="I514" s="356"/>
    </row>
    <row r="515" spans="1:9" ht="15" customHeight="1">
      <c r="A515" s="353" t="s">
        <v>491</v>
      </c>
      <c r="B515" s="354"/>
      <c r="C515" s="354"/>
      <c r="D515" s="354"/>
      <c r="E515" s="354"/>
      <c r="F515" s="354"/>
      <c r="G515" s="463"/>
      <c r="H515" s="207">
        <f>H460</f>
        <v>5777037.71</v>
      </c>
      <c r="I515" s="356" t="s">
        <v>13</v>
      </c>
    </row>
    <row r="516" spans="1:9" ht="15" customHeight="1">
      <c r="A516" s="353"/>
      <c r="B516" s="354"/>
      <c r="C516" s="354"/>
      <c r="D516" s="354"/>
      <c r="E516" s="354"/>
      <c r="F516" s="354"/>
      <c r="G516" s="463"/>
      <c r="H516" s="184"/>
      <c r="I516" s="356"/>
    </row>
    <row r="517" spans="1:9" ht="15" customHeight="1">
      <c r="A517" s="353" t="s">
        <v>437</v>
      </c>
      <c r="B517" s="354"/>
      <c r="C517" s="354"/>
      <c r="D517" s="354"/>
      <c r="E517" s="354"/>
      <c r="F517" s="354"/>
      <c r="G517" s="463"/>
      <c r="H517" s="221">
        <f>Assoreamento!J5</f>
        <v>2</v>
      </c>
      <c r="I517" s="356" t="s">
        <v>492</v>
      </c>
    </row>
    <row r="518" spans="1:9" ht="15" customHeight="1">
      <c r="A518" s="353"/>
      <c r="B518" s="354"/>
      <c r="C518" s="354"/>
      <c r="D518" s="354"/>
      <c r="E518" s="354"/>
      <c r="F518" s="354"/>
      <c r="G518" s="463"/>
      <c r="H518" s="184"/>
      <c r="I518" s="356"/>
    </row>
    <row r="519" spans="1:9" ht="15" customHeight="1">
      <c r="A519" s="353" t="s">
        <v>493</v>
      </c>
      <c r="B519" s="354"/>
      <c r="C519" s="354"/>
      <c r="D519" s="354"/>
      <c r="E519" s="354"/>
      <c r="F519" s="354"/>
      <c r="G519" s="463"/>
      <c r="H519" s="380">
        <f>H515*30/H507/H517</f>
        <v>83.564631647964035</v>
      </c>
      <c r="I519" s="356" t="s">
        <v>100</v>
      </c>
    </row>
    <row r="520" spans="1:9" ht="15" customHeight="1">
      <c r="A520" s="678"/>
      <c r="B520" s="354"/>
      <c r="C520" s="354"/>
      <c r="D520" s="354"/>
      <c r="E520" s="354"/>
      <c r="F520" s="354"/>
      <c r="G520" s="463"/>
      <c r="H520" s="184"/>
      <c r="I520" s="679"/>
    </row>
    <row r="521" spans="1:9" ht="15" customHeight="1">
      <c r="A521" s="353" t="s">
        <v>494</v>
      </c>
      <c r="B521" s="354"/>
      <c r="C521" s="354"/>
      <c r="D521" s="354"/>
      <c r="E521" s="354"/>
      <c r="F521" s="354"/>
      <c r="G521" s="463"/>
      <c r="H521" s="173">
        <f>Assoreamento!L5</f>
        <v>562986.51280340285</v>
      </c>
      <c r="I521" s="356" t="s">
        <v>13</v>
      </c>
    </row>
    <row r="522" spans="1:9" ht="15" customHeight="1">
      <c r="A522" s="353"/>
      <c r="B522" s="354"/>
      <c r="C522" s="354"/>
      <c r="D522" s="354"/>
      <c r="E522" s="354"/>
      <c r="F522" s="354"/>
      <c r="G522" s="463"/>
      <c r="H522" s="184"/>
      <c r="I522" s="356"/>
    </row>
    <row r="523" spans="1:9" ht="15" customHeight="1">
      <c r="A523" s="353" t="s">
        <v>495</v>
      </c>
      <c r="B523" s="354"/>
      <c r="C523" s="354"/>
      <c r="D523" s="354"/>
      <c r="E523" s="354"/>
      <c r="F523" s="354"/>
      <c r="G523" s="463"/>
      <c r="H523" s="191">
        <f>H521*30/H507/H517</f>
        <v>8.1435785824545253</v>
      </c>
      <c r="I523" s="356" t="s">
        <v>100</v>
      </c>
    </row>
    <row r="524" spans="1:9" ht="15" customHeight="1">
      <c r="A524" s="353"/>
      <c r="B524" s="354"/>
      <c r="C524" s="354"/>
      <c r="D524" s="354"/>
      <c r="E524" s="354"/>
      <c r="F524" s="354"/>
      <c r="G524" s="463"/>
      <c r="H524" s="187"/>
      <c r="I524" s="356"/>
    </row>
    <row r="525" spans="1:9" ht="15" customHeight="1">
      <c r="A525" s="353" t="s">
        <v>496</v>
      </c>
      <c r="B525" s="354"/>
      <c r="C525" s="354"/>
      <c r="D525" s="354"/>
      <c r="E525" s="489"/>
      <c r="F525" s="354"/>
      <c r="G525" s="463"/>
      <c r="H525" s="173">
        <f>Assoreamento!M5</f>
        <v>1095303.6717182775</v>
      </c>
      <c r="I525" s="356" t="s">
        <v>13</v>
      </c>
    </row>
    <row r="526" spans="1:9" ht="15" customHeight="1">
      <c r="A526" s="353"/>
      <c r="B526" s="354"/>
      <c r="C526" s="354"/>
      <c r="D526" s="354"/>
      <c r="E526" s="354"/>
      <c r="F526" s="354"/>
      <c r="G526" s="463"/>
      <c r="H526" s="187"/>
      <c r="I526" s="356"/>
    </row>
    <row r="527" spans="1:9" ht="15" customHeight="1">
      <c r="A527" s="355" t="s">
        <v>497</v>
      </c>
      <c r="B527" s="378"/>
      <c r="C527" s="378"/>
      <c r="D527" s="378"/>
      <c r="E527" s="378"/>
      <c r="F527" s="378"/>
      <c r="G527" s="462"/>
      <c r="H527" s="325">
        <f>H525*30/H507/H517</f>
        <v>15.843526122629441</v>
      </c>
      <c r="I527" s="357" t="s">
        <v>100</v>
      </c>
    </row>
    <row r="528" spans="1:9" ht="15" customHeight="1">
      <c r="A528" s="381"/>
      <c r="B528" s="680"/>
      <c r="C528" s="680"/>
      <c r="D528" s="680"/>
      <c r="E528" s="680"/>
      <c r="F528" s="680"/>
      <c r="G528" s="680"/>
      <c r="H528" s="681"/>
      <c r="I528" s="421"/>
    </row>
    <row r="529" spans="1:9" ht="15" customHeight="1">
      <c r="A529" s="200" t="s">
        <v>498</v>
      </c>
      <c r="B529" s="364"/>
      <c r="C529" s="364"/>
      <c r="D529" s="364"/>
      <c r="E529" s="364"/>
      <c r="F529" s="364"/>
      <c r="G529" s="376"/>
      <c r="H529" s="682">
        <f>SUM(H521,H525)</f>
        <v>1658290.1845216802</v>
      </c>
      <c r="I529" s="201" t="s">
        <v>13</v>
      </c>
    </row>
    <row r="530" spans="1:9" ht="15" customHeight="1">
      <c r="A530" s="57"/>
      <c r="B530" s="174"/>
      <c r="C530" s="174"/>
      <c r="D530" s="174"/>
      <c r="E530" s="683"/>
      <c r="F530" s="683"/>
      <c r="G530" s="683"/>
      <c r="H530" s="57"/>
      <c r="I530" s="684"/>
    </row>
    <row r="531" spans="1:9" ht="15" customHeight="1">
      <c r="A531" s="685" t="s">
        <v>499</v>
      </c>
      <c r="B531" s="364"/>
      <c r="C531" s="364"/>
      <c r="D531" s="364"/>
      <c r="E531" s="364"/>
      <c r="F531" s="364"/>
      <c r="G531" s="376"/>
      <c r="H531" s="686">
        <f>SUM(H519,H523,H527)</f>
        <v>107.551736353048</v>
      </c>
      <c r="I531" s="356" t="s">
        <v>100</v>
      </c>
    </row>
    <row r="532" spans="1:9" ht="15" customHeight="1">
      <c r="A532" s="687"/>
      <c r="B532" s="352"/>
      <c r="C532" s="352"/>
      <c r="D532" s="352"/>
      <c r="E532" s="352"/>
      <c r="F532" s="352"/>
      <c r="G532" s="374"/>
      <c r="H532" s="352"/>
      <c r="I532" s="688"/>
    </row>
    <row r="533" spans="1:9" ht="15" customHeight="1">
      <c r="A533" s="200" t="s">
        <v>500</v>
      </c>
      <c r="B533" s="364"/>
      <c r="C533" s="364"/>
      <c r="D533" s="364"/>
      <c r="E533" s="364"/>
      <c r="F533" s="364"/>
      <c r="G533" s="376"/>
      <c r="H533" s="689">
        <f>H513*SUM(H515,H521,H525)</f>
        <v>83796145.371259332</v>
      </c>
      <c r="I533" s="462" t="s">
        <v>23</v>
      </c>
    </row>
    <row r="534" spans="1:9" ht="15" customHeight="1">
      <c r="A534" s="101"/>
      <c r="B534" s="85"/>
      <c r="C534" s="85"/>
      <c r="D534" s="85"/>
      <c r="E534" s="85"/>
      <c r="F534" s="85"/>
      <c r="G534" s="85"/>
      <c r="H534" s="102"/>
      <c r="I534" s="102"/>
    </row>
    <row r="535" spans="1:9" ht="15" customHeight="1">
      <c r="A535" s="93"/>
      <c r="B535" s="93"/>
      <c r="C535" s="93"/>
      <c r="D535" s="93"/>
      <c r="E535" s="93"/>
      <c r="F535" s="93"/>
      <c r="G535" s="94"/>
      <c r="H535" s="93"/>
      <c r="I535" s="94"/>
    </row>
    <row r="536" spans="1:9" ht="15" customHeight="1">
      <c r="A536" s="766" t="str">
        <f>A35</f>
        <v>Canal Porto Novo</v>
      </c>
      <c r="B536" s="767"/>
      <c r="C536" s="767"/>
      <c r="D536" s="767"/>
      <c r="E536" s="767"/>
      <c r="F536" s="767"/>
      <c r="G536" s="767"/>
      <c r="H536" s="767"/>
      <c r="I536" s="768"/>
    </row>
    <row r="537" spans="1:9" ht="15" customHeight="1">
      <c r="A537" s="167"/>
      <c r="B537" s="167"/>
      <c r="C537" s="167"/>
      <c r="D537" s="167"/>
      <c r="E537" s="167"/>
      <c r="F537" s="167"/>
      <c r="G537" s="168"/>
      <c r="H537" s="167"/>
      <c r="I537" s="168"/>
    </row>
    <row r="538" spans="1:9" ht="15" customHeight="1">
      <c r="A538" s="733">
        <f>H110</f>
        <v>11000</v>
      </c>
      <c r="B538" s="733"/>
      <c r="C538" s="733"/>
      <c r="D538" s="733"/>
      <c r="E538" s="733"/>
      <c r="F538" s="733"/>
      <c r="G538" s="733"/>
      <c r="H538" s="733"/>
      <c r="I538" s="733"/>
    </row>
    <row r="539" spans="1:9" ht="15" customHeight="1">
      <c r="A539" s="167"/>
      <c r="B539" s="176"/>
      <c r="C539" s="176"/>
      <c r="D539" s="176"/>
      <c r="E539" s="176"/>
      <c r="F539" s="176"/>
      <c r="G539" s="176"/>
      <c r="H539" s="176"/>
      <c r="I539" s="176"/>
    </row>
    <row r="540" spans="1:9" ht="15" customHeight="1">
      <c r="A540" s="164" t="s">
        <v>30</v>
      </c>
      <c r="B540" s="178"/>
      <c r="C540" s="178"/>
      <c r="D540" s="178"/>
      <c r="E540" s="178"/>
      <c r="F540" s="178"/>
      <c r="G540" s="179"/>
      <c r="H540" s="180">
        <f>ROUND(MAX(RESUMO!$B$4:$D$4),2)</f>
        <v>3.25</v>
      </c>
      <c r="I540" s="181" t="s">
        <v>23</v>
      </c>
    </row>
    <row r="541" spans="1:9" ht="15" customHeight="1">
      <c r="A541" s="165"/>
      <c r="B541" s="182"/>
      <c r="C541" s="182"/>
      <c r="D541" s="182"/>
      <c r="E541" s="182"/>
      <c r="F541" s="182"/>
      <c r="G541" s="183"/>
      <c r="H541" s="184"/>
      <c r="I541" s="185"/>
    </row>
    <row r="542" spans="1:9" ht="15" customHeight="1">
      <c r="A542" s="165" t="s">
        <v>31</v>
      </c>
      <c r="B542" s="182"/>
      <c r="C542" s="182"/>
      <c r="D542" s="182"/>
      <c r="E542" s="182"/>
      <c r="F542" s="182"/>
      <c r="G542" s="183"/>
      <c r="H542" s="186" t="s">
        <v>32</v>
      </c>
      <c r="I542" s="185" t="s">
        <v>38</v>
      </c>
    </row>
    <row r="543" spans="1:9" ht="15" customHeight="1">
      <c r="A543" s="165"/>
      <c r="B543" s="182"/>
      <c r="C543" s="182"/>
      <c r="D543" s="182"/>
      <c r="E543" s="182"/>
      <c r="F543" s="182"/>
      <c r="G543" s="183"/>
      <c r="H543" s="187"/>
      <c r="I543" s="185"/>
    </row>
    <row r="544" spans="1:9" ht="15" customHeight="1">
      <c r="A544" s="165" t="s">
        <v>88</v>
      </c>
      <c r="B544" s="182"/>
      <c r="C544" s="182" t="s">
        <v>77</v>
      </c>
      <c r="D544" s="182"/>
      <c r="E544" s="182"/>
      <c r="F544" s="182"/>
      <c r="G544" s="183"/>
      <c r="H544" s="188">
        <f>VLOOKUP(H546,RESUMO!$AB$7:$AK$29,7,FALSE)</f>
        <v>83616000</v>
      </c>
      <c r="I544" s="185" t="s">
        <v>21</v>
      </c>
    </row>
    <row r="545" spans="1:9" ht="15" customHeight="1">
      <c r="A545" s="165"/>
      <c r="B545" s="182"/>
      <c r="C545" s="182"/>
      <c r="D545" s="182"/>
      <c r="E545" s="182"/>
      <c r="F545" s="182"/>
      <c r="G545" s="183"/>
      <c r="H545" s="184"/>
      <c r="I545" s="185"/>
    </row>
    <row r="546" spans="1:9" ht="15" customHeight="1">
      <c r="A546" s="165" t="s">
        <v>33</v>
      </c>
      <c r="B546" s="182"/>
      <c r="C546" s="182"/>
      <c r="D546" s="182" t="s">
        <v>77</v>
      </c>
      <c r="E546" s="182"/>
      <c r="F546" s="182"/>
      <c r="G546" s="183"/>
      <c r="H546" s="189">
        <f>A538</f>
        <v>11000</v>
      </c>
      <c r="I546" s="185" t="s">
        <v>13</v>
      </c>
    </row>
    <row r="547" spans="1:9" ht="15" customHeight="1">
      <c r="A547" s="165"/>
      <c r="B547" s="182"/>
      <c r="C547" s="182"/>
      <c r="D547" s="182"/>
      <c r="E547" s="182"/>
      <c r="F547" s="182"/>
      <c r="G547" s="183"/>
      <c r="H547" s="184"/>
      <c r="I547" s="185"/>
    </row>
    <row r="548" spans="1:9" ht="15" customHeight="1">
      <c r="A548" s="165" t="s">
        <v>393</v>
      </c>
      <c r="B548" s="182"/>
      <c r="C548" s="182"/>
      <c r="D548" s="182"/>
      <c r="E548" s="182"/>
      <c r="F548" s="182"/>
      <c r="G548" s="183"/>
      <c r="H548" s="186">
        <f>VLOOKUP(H546,RESUMO!$AB$7:$AL$29,11,FALSE)</f>
        <v>10</v>
      </c>
      <c r="I548" s="185" t="s">
        <v>14</v>
      </c>
    </row>
    <row r="549" spans="1:9" ht="15" customHeight="1">
      <c r="A549" s="165"/>
      <c r="B549" s="182"/>
      <c r="C549" s="182"/>
      <c r="D549" s="182"/>
      <c r="E549" s="182"/>
      <c r="F549" s="182"/>
      <c r="G549" s="183"/>
      <c r="H549" s="184"/>
      <c r="I549" s="185"/>
    </row>
    <row r="550" spans="1:9" ht="15" customHeight="1">
      <c r="A550" s="165" t="s">
        <v>34</v>
      </c>
      <c r="B550" s="182"/>
      <c r="C550" s="182"/>
      <c r="D550" s="182"/>
      <c r="E550" s="182"/>
      <c r="F550" s="182"/>
      <c r="G550" s="183"/>
      <c r="H550" s="232">
        <f>VLOOKUP(A536,$A$33:$H$36,5,FALSE)</f>
        <v>18.8</v>
      </c>
      <c r="I550" s="185" t="s">
        <v>4</v>
      </c>
    </row>
    <row r="551" spans="1:9" ht="15" customHeight="1">
      <c r="A551" s="165"/>
      <c r="B551" s="182"/>
      <c r="C551" s="182"/>
      <c r="D551" s="182"/>
      <c r="E551" s="182"/>
      <c r="F551" s="182"/>
      <c r="G551" s="183"/>
      <c r="H551" s="184"/>
      <c r="I551" s="185"/>
    </row>
    <row r="552" spans="1:9" ht="15" customHeight="1">
      <c r="A552" s="165" t="s">
        <v>111</v>
      </c>
      <c r="B552" s="182"/>
      <c r="C552" s="182" t="s">
        <v>36</v>
      </c>
      <c r="D552" s="182"/>
      <c r="E552" s="182"/>
      <c r="F552" s="182"/>
      <c r="G552" s="183"/>
      <c r="H552" s="189">
        <f>SUM(VLOOKUP(H546,RESUMO!$AB$7:$AK$29,6,FALSE),VLOOKUP(H546,RESUMO!$AB$7:$AK$29,5,FALSE),VLOOKUP(H546,RESUMO!$AB$7:$AK$29,4,FALSE))</f>
        <v>16720</v>
      </c>
      <c r="I552" s="185" t="s">
        <v>37</v>
      </c>
    </row>
    <row r="553" spans="1:9" ht="15" customHeight="1">
      <c r="A553" s="165"/>
      <c r="B553" s="182"/>
      <c r="C553" s="182"/>
      <c r="D553" s="182"/>
      <c r="E553" s="182"/>
      <c r="F553" s="182"/>
      <c r="G553" s="183"/>
      <c r="H553" s="184"/>
      <c r="I553" s="185"/>
    </row>
    <row r="554" spans="1:9" ht="15" customHeight="1">
      <c r="A554" s="165" t="s">
        <v>76</v>
      </c>
      <c r="B554" s="182"/>
      <c r="C554" s="182"/>
      <c r="D554" s="182"/>
      <c r="E554" s="182"/>
      <c r="F554" s="182"/>
      <c r="G554" s="183"/>
      <c r="H554" s="190">
        <f>RESUMO!$B$13</f>
        <v>724</v>
      </c>
      <c r="I554" s="185" t="s">
        <v>23</v>
      </c>
    </row>
    <row r="555" spans="1:9" ht="15" customHeight="1">
      <c r="A555" s="165"/>
      <c r="B555" s="182"/>
      <c r="C555" s="182"/>
      <c r="D555" s="182"/>
      <c r="E555" s="182"/>
      <c r="F555" s="182"/>
      <c r="G555" s="183"/>
      <c r="H555" s="184"/>
      <c r="I555" s="185"/>
    </row>
    <row r="556" spans="1:9" ht="15" customHeight="1">
      <c r="A556" s="165" t="s">
        <v>180</v>
      </c>
      <c r="B556" s="182"/>
      <c r="C556" s="182"/>
      <c r="D556" s="182"/>
      <c r="E556" s="182"/>
      <c r="F556" s="182"/>
      <c r="G556" s="183"/>
      <c r="H556" s="190">
        <f>ROUND(MAX(RESUMO!$B$8:$D$8),2)</f>
        <v>2.56</v>
      </c>
      <c r="I556" s="185" t="s">
        <v>23</v>
      </c>
    </row>
    <row r="557" spans="1:9" ht="15" customHeight="1">
      <c r="A557" s="165"/>
      <c r="B557" s="182"/>
      <c r="C557" s="182"/>
      <c r="D557" s="182"/>
      <c r="E557" s="182"/>
      <c r="F557" s="182"/>
      <c r="G557" s="183"/>
      <c r="H557" s="191"/>
      <c r="I557" s="185"/>
    </row>
    <row r="558" spans="1:9" ht="15" customHeight="1">
      <c r="A558" s="165" t="s">
        <v>119</v>
      </c>
      <c r="B558" s="182"/>
      <c r="C558" s="182"/>
      <c r="D558" s="182"/>
      <c r="E558" s="182"/>
      <c r="F558" s="182"/>
      <c r="G558" s="183"/>
      <c r="H558" s="425" t="s">
        <v>412</v>
      </c>
      <c r="I558" s="426"/>
    </row>
    <row r="559" spans="1:9" ht="15" customHeight="1">
      <c r="A559" s="165"/>
      <c r="B559" s="182"/>
      <c r="C559" s="182"/>
      <c r="D559" s="182"/>
      <c r="E559" s="182"/>
      <c r="F559" s="182"/>
      <c r="G559" s="183"/>
      <c r="H559" s="191"/>
      <c r="I559" s="185"/>
    </row>
    <row r="560" spans="1:9" ht="15" customHeight="1">
      <c r="A560" s="166" t="s">
        <v>170</v>
      </c>
      <c r="B560" s="192"/>
      <c r="C560" s="192"/>
      <c r="D560" s="192"/>
      <c r="E560" s="192"/>
      <c r="F560" s="192"/>
      <c r="G560" s="193"/>
      <c r="H560" s="194">
        <f>VLOOKUP(A536,$A$33:$H$36,8,FALSE)+VLOOKUP(A536,$A$55:$G$58,6,FALSE)</f>
        <v>1891950.049868159</v>
      </c>
      <c r="I560" s="195" t="s">
        <v>13</v>
      </c>
    </row>
    <row r="561" spans="1:9" ht="15" customHeight="1">
      <c r="A561" s="167"/>
      <c r="B561" s="167"/>
      <c r="C561" s="167"/>
      <c r="D561" s="167"/>
      <c r="E561" s="167"/>
      <c r="F561" s="167"/>
      <c r="G561" s="168"/>
      <c r="H561" s="167"/>
      <c r="I561" s="168"/>
    </row>
    <row r="562" spans="1:9" ht="15" customHeight="1">
      <c r="A562" s="196" t="s">
        <v>39</v>
      </c>
      <c r="B562" s="167" t="s">
        <v>40</v>
      </c>
      <c r="C562" s="167"/>
      <c r="D562" s="167"/>
      <c r="E562" s="167"/>
      <c r="F562" s="167"/>
      <c r="G562" s="168"/>
      <c r="H562" s="167"/>
      <c r="I562" s="168"/>
    </row>
    <row r="563" spans="1:9" ht="15" customHeight="1"/>
    <row r="564" spans="1:9" ht="15" customHeight="1"/>
    <row r="565" spans="1:9" ht="15" customHeight="1">
      <c r="A565" s="738" t="s">
        <v>194</v>
      </c>
      <c r="B565" s="738"/>
      <c r="C565" s="738"/>
      <c r="D565" s="738"/>
      <c r="E565" s="738"/>
      <c r="F565" s="738"/>
      <c r="G565" s="738"/>
      <c r="H565" s="738"/>
      <c r="I565" s="738"/>
    </row>
    <row r="566" spans="1:9" ht="15" customHeight="1">
      <c r="A566" s="352"/>
      <c r="B566" s="352"/>
      <c r="C566" s="352"/>
      <c r="D566" s="352"/>
      <c r="E566" s="352"/>
      <c r="F566" s="352"/>
      <c r="G566" s="374"/>
      <c r="H566" s="352"/>
      <c r="I566" s="374"/>
    </row>
    <row r="567" spans="1:9" ht="15" customHeight="1">
      <c r="A567" s="295" t="str">
        <f>$A$33</f>
        <v>Canal Externo</v>
      </c>
      <c r="B567" s="352"/>
      <c r="C567" s="352"/>
      <c r="D567" s="352"/>
      <c r="E567" s="352"/>
      <c r="F567" s="352"/>
      <c r="G567" s="374"/>
      <c r="H567" s="107">
        <f>$H$172</f>
        <v>590320.06079999998</v>
      </c>
      <c r="I567" s="59" t="s">
        <v>26</v>
      </c>
    </row>
    <row r="568" spans="1:9" ht="15" customHeight="1">
      <c r="A568" s="352"/>
      <c r="B568" s="352"/>
      <c r="C568" s="352"/>
      <c r="D568" s="352"/>
      <c r="E568" s="352"/>
      <c r="F568" s="352"/>
      <c r="G568" s="374"/>
      <c r="H568" s="352"/>
      <c r="I568" s="374"/>
    </row>
    <row r="569" spans="1:9" ht="15" customHeight="1">
      <c r="A569" s="352"/>
      <c r="B569" s="352"/>
      <c r="C569" s="352"/>
      <c r="D569" s="352"/>
      <c r="E569" s="352"/>
      <c r="F569" s="352"/>
      <c r="G569" s="374"/>
      <c r="H569" s="352"/>
      <c r="I569" s="374"/>
    </row>
    <row r="570" spans="1:9" ht="15" customHeight="1">
      <c r="A570" s="718" t="s">
        <v>198</v>
      </c>
      <c r="B570" s="718"/>
      <c r="C570" s="718"/>
      <c r="D570" s="718"/>
      <c r="E570" s="718"/>
      <c r="F570" s="718"/>
      <c r="G570" s="718"/>
      <c r="H570" s="718"/>
      <c r="I570" s="718"/>
    </row>
    <row r="571" spans="1:9" ht="15" customHeight="1">
      <c r="A571" s="352"/>
      <c r="B571" s="352"/>
      <c r="C571" s="352"/>
      <c r="D571" s="352"/>
      <c r="E571" s="352"/>
      <c r="F571" s="352"/>
      <c r="G571" s="374"/>
      <c r="H571" s="352"/>
      <c r="I571" s="374"/>
    </row>
    <row r="572" spans="1:9" ht="15" customHeight="1">
      <c r="A572" s="295" t="str">
        <f>$A$33</f>
        <v>Canal Externo</v>
      </c>
      <c r="B572" s="352"/>
      <c r="C572" s="352"/>
      <c r="D572" s="352"/>
      <c r="E572" s="352"/>
      <c r="F572" s="352"/>
      <c r="G572" s="374"/>
      <c r="H572" s="107">
        <f>$H$322</f>
        <v>4734089.9493887993</v>
      </c>
      <c r="I572" s="59" t="s">
        <v>26</v>
      </c>
    </row>
    <row r="573" spans="1:9" ht="15" customHeight="1">
      <c r="A573" s="352"/>
      <c r="B573" s="352"/>
      <c r="C573" s="352"/>
      <c r="D573" s="352"/>
      <c r="E573" s="352"/>
      <c r="F573" s="352"/>
      <c r="G573" s="374"/>
      <c r="H573" s="352"/>
      <c r="I573" s="374"/>
    </row>
    <row r="574" spans="1:9" ht="15" customHeight="1">
      <c r="A574" s="352"/>
      <c r="B574" s="352"/>
      <c r="C574" s="352"/>
      <c r="D574" s="352"/>
      <c r="E574" s="352"/>
      <c r="F574" s="352"/>
      <c r="G574" s="374"/>
      <c r="H574" s="352"/>
      <c r="I574" s="374"/>
    </row>
    <row r="575" spans="1:9" ht="15" customHeight="1">
      <c r="A575" s="738" t="s">
        <v>196</v>
      </c>
      <c r="B575" s="738"/>
      <c r="C575" s="738"/>
      <c r="D575" s="738"/>
      <c r="E575" s="738"/>
      <c r="F575" s="738"/>
      <c r="G575" s="738"/>
      <c r="H575" s="738"/>
      <c r="I575" s="738"/>
    </row>
    <row r="576" spans="1:9" ht="15" customHeight="1">
      <c r="A576" s="352"/>
      <c r="B576" s="352"/>
      <c r="C576" s="352"/>
      <c r="D576" s="352"/>
      <c r="E576" s="352"/>
      <c r="F576" s="352"/>
      <c r="G576" s="374"/>
      <c r="H576" s="352"/>
      <c r="I576" s="374"/>
    </row>
    <row r="577" spans="1:9" ht="15" customHeight="1">
      <c r="A577" s="295" t="str">
        <f>$A$33</f>
        <v>Canal Externo</v>
      </c>
      <c r="B577" s="352"/>
      <c r="C577" s="352"/>
      <c r="D577" s="352"/>
      <c r="E577" s="352"/>
      <c r="F577" s="352"/>
      <c r="G577" s="374"/>
      <c r="H577" s="107">
        <f>$H$378</f>
        <v>11684269.271794345</v>
      </c>
      <c r="I577" s="59" t="s">
        <v>26</v>
      </c>
    </row>
    <row r="578" spans="1:9" ht="15" customHeight="1">
      <c r="A578" s="105"/>
      <c r="B578" s="105"/>
      <c r="C578" s="105"/>
      <c r="D578" s="105"/>
      <c r="E578" s="105"/>
      <c r="F578" s="105"/>
      <c r="G578" s="106"/>
      <c r="H578" s="105"/>
      <c r="I578" s="106"/>
    </row>
    <row r="579" spans="1:9" ht="15" customHeight="1"/>
    <row r="580" spans="1:9" ht="15" customHeight="1"/>
    <row r="581" spans="1:9" ht="15" customHeight="1">
      <c r="F581" s="167"/>
      <c r="G581" s="168"/>
      <c r="H581" s="167"/>
      <c r="I581" s="168"/>
    </row>
    <row r="582" spans="1:9" ht="15" customHeight="1">
      <c r="F582" s="167"/>
      <c r="G582" s="168"/>
      <c r="H582" s="167"/>
      <c r="I582" s="168"/>
    </row>
    <row r="583" spans="1:9" ht="15" customHeight="1">
      <c r="A583" s="20"/>
      <c r="B583" s="21"/>
      <c r="C583" s="21"/>
      <c r="D583" s="21"/>
      <c r="E583" s="21"/>
      <c r="I583" s="168"/>
    </row>
    <row r="584" spans="1:9" ht="15" customHeight="1">
      <c r="A584" s="101"/>
      <c r="B584" s="85"/>
      <c r="C584" s="85"/>
      <c r="D584" s="85"/>
      <c r="E584" s="85"/>
      <c r="F584" s="85"/>
      <c r="G584" s="85"/>
      <c r="H584" s="102"/>
      <c r="I584" s="102"/>
    </row>
    <row r="585" spans="1:9" ht="15" customHeight="1">
      <c r="A585" s="111"/>
      <c r="B585" s="112"/>
      <c r="C585" s="112"/>
      <c r="D585" s="112"/>
      <c r="E585" s="112"/>
      <c r="F585" s="93"/>
      <c r="G585" s="94"/>
      <c r="H585" s="93"/>
      <c r="I585" s="177"/>
    </row>
    <row r="586" spans="1:9" ht="15" customHeight="1">
      <c r="A586" s="738" t="s">
        <v>195</v>
      </c>
      <c r="B586" s="738"/>
      <c r="C586" s="738"/>
      <c r="D586" s="738"/>
      <c r="E586" s="738"/>
      <c r="F586" s="738"/>
      <c r="G586" s="738"/>
      <c r="H586" s="738"/>
      <c r="I586" s="738"/>
    </row>
    <row r="587" spans="1:9" ht="15" customHeight="1">
      <c r="A587" s="167"/>
      <c r="B587" s="167"/>
      <c r="C587" s="167"/>
      <c r="D587" s="167"/>
      <c r="E587" s="167"/>
      <c r="F587" s="167"/>
      <c r="G587" s="168"/>
      <c r="H587" s="167"/>
      <c r="I587" s="168"/>
    </row>
    <row r="588" spans="1:9" ht="15" customHeight="1">
      <c r="A588" s="164"/>
      <c r="B588" s="178"/>
      <c r="C588" s="178"/>
      <c r="D588" s="178"/>
      <c r="E588" s="178"/>
      <c r="F588" s="178"/>
      <c r="G588" s="179"/>
      <c r="H588" s="226"/>
      <c r="I588" s="181"/>
    </row>
    <row r="589" spans="1:9" ht="15" customHeight="1">
      <c r="A589" s="4" t="s">
        <v>20</v>
      </c>
      <c r="B589" s="5"/>
      <c r="C589" s="5"/>
      <c r="D589" s="5"/>
      <c r="E589" s="5"/>
      <c r="F589" s="5"/>
      <c r="G589" s="6"/>
      <c r="H589" s="12">
        <f>H546</f>
        <v>11000</v>
      </c>
      <c r="I589" s="185" t="s">
        <v>13</v>
      </c>
    </row>
    <row r="590" spans="1:9" ht="15" customHeight="1">
      <c r="A590" s="165" t="s">
        <v>29</v>
      </c>
      <c r="B590" s="182"/>
      <c r="C590" s="182"/>
      <c r="D590" s="182"/>
      <c r="E590" s="182"/>
      <c r="F590" s="182"/>
      <c r="G590" s="183"/>
      <c r="H590" s="13">
        <f>H589</f>
        <v>11000</v>
      </c>
      <c r="I590" s="185" t="s">
        <v>13</v>
      </c>
    </row>
    <row r="591" spans="1:9" ht="15" customHeight="1">
      <c r="A591" s="165" t="s">
        <v>0</v>
      </c>
      <c r="B591" s="182"/>
      <c r="C591" s="182"/>
      <c r="D591" s="182"/>
      <c r="F591" s="424">
        <v>0.75</v>
      </c>
      <c r="G591" s="172"/>
      <c r="H591" s="380">
        <f>F591</f>
        <v>0.75</v>
      </c>
      <c r="I591" s="185" t="s">
        <v>95</v>
      </c>
    </row>
    <row r="592" spans="1:9" ht="15" customHeight="1">
      <c r="A592" s="165" t="s">
        <v>1</v>
      </c>
      <c r="B592" s="182"/>
      <c r="C592" s="182"/>
      <c r="D592" s="182"/>
      <c r="F592" s="427">
        <v>0.17499999999999999</v>
      </c>
      <c r="G592" s="172"/>
      <c r="H592" s="209">
        <f>1/(1+F592)</f>
        <v>0.85106382978723405</v>
      </c>
      <c r="I592" s="185" t="s">
        <v>95</v>
      </c>
    </row>
    <row r="593" spans="1:9" ht="15" customHeight="1">
      <c r="A593" s="165" t="s">
        <v>19</v>
      </c>
      <c r="B593" s="182"/>
      <c r="C593" s="182"/>
      <c r="D593" s="182"/>
      <c r="E593" s="182"/>
      <c r="F593" s="227"/>
      <c r="G593" s="183"/>
      <c r="H593" s="15">
        <f>(H590*H591)*H592</f>
        <v>7021.2765957446809</v>
      </c>
      <c r="I593" s="185" t="s">
        <v>13</v>
      </c>
    </row>
    <row r="594" spans="1:9" ht="15" customHeight="1">
      <c r="A594" s="165"/>
      <c r="B594" s="182"/>
      <c r="C594" s="182"/>
      <c r="D594" s="182"/>
      <c r="E594" s="182"/>
      <c r="F594" s="182"/>
      <c r="G594" s="183"/>
      <c r="H594" s="184"/>
      <c r="I594" s="185"/>
    </row>
    <row r="595" spans="1:9" ht="15" customHeight="1">
      <c r="A595" s="165" t="s">
        <v>2</v>
      </c>
      <c r="B595" s="182"/>
      <c r="C595" s="182"/>
      <c r="D595" s="182"/>
      <c r="E595" s="182"/>
      <c r="F595" s="182"/>
      <c r="G595" s="183"/>
      <c r="H595" s="184"/>
      <c r="I595" s="185"/>
    </row>
    <row r="596" spans="1:9" ht="15" customHeight="1">
      <c r="A596" s="165" t="s">
        <v>3</v>
      </c>
      <c r="B596" s="182"/>
      <c r="C596" s="182"/>
      <c r="D596" s="182"/>
      <c r="E596" s="182"/>
      <c r="F596" s="182"/>
      <c r="G596" s="183"/>
      <c r="H596" s="65">
        <f>H550</f>
        <v>18.8</v>
      </c>
      <c r="I596" s="185" t="s">
        <v>4</v>
      </c>
    </row>
    <row r="597" spans="1:9" ht="15" customHeight="1">
      <c r="A597" s="165" t="s">
        <v>7</v>
      </c>
      <c r="B597" s="182"/>
      <c r="C597" s="182"/>
      <c r="D597" s="182"/>
      <c r="E597" s="182"/>
      <c r="F597" s="182"/>
      <c r="G597" s="183"/>
      <c r="H597" s="184">
        <f>H548</f>
        <v>10</v>
      </c>
      <c r="I597" s="185" t="s">
        <v>14</v>
      </c>
    </row>
    <row r="598" spans="1:9" ht="15" customHeight="1">
      <c r="A598" s="165" t="s">
        <v>9</v>
      </c>
      <c r="B598" s="182"/>
      <c r="C598" s="182"/>
      <c r="D598" s="182"/>
      <c r="E598" s="182"/>
      <c r="F598" s="182"/>
      <c r="G598" s="183"/>
      <c r="H598" s="64">
        <f>H596/H597*2</f>
        <v>3.7600000000000002</v>
      </c>
      <c r="I598" s="185" t="s">
        <v>15</v>
      </c>
    </row>
    <row r="599" spans="1:9" ht="15" customHeight="1">
      <c r="A599" s="165" t="s">
        <v>6</v>
      </c>
      <c r="B599" s="182"/>
      <c r="C599" s="182"/>
      <c r="D599" s="182"/>
      <c r="E599" s="182"/>
      <c r="F599" s="7"/>
      <c r="G599" s="172"/>
      <c r="H599" s="229">
        <v>1</v>
      </c>
      <c r="I599" s="185" t="s">
        <v>15</v>
      </c>
    </row>
    <row r="600" spans="1:9" ht="15" customHeight="1">
      <c r="A600" s="165" t="s">
        <v>12</v>
      </c>
      <c r="B600" s="182"/>
      <c r="C600" s="182"/>
      <c r="D600" s="182"/>
      <c r="E600" s="182"/>
      <c r="F600" s="7"/>
      <c r="G600" s="172"/>
      <c r="H600" s="184">
        <v>0.2</v>
      </c>
      <c r="I600" s="185" t="s">
        <v>15</v>
      </c>
    </row>
    <row r="601" spans="1:9" ht="15" customHeight="1">
      <c r="A601" s="165" t="s">
        <v>8</v>
      </c>
      <c r="B601" s="182"/>
      <c r="C601" s="182"/>
      <c r="D601" s="182"/>
      <c r="E601" s="182"/>
      <c r="F601" s="182"/>
      <c r="G601" s="172"/>
      <c r="H601" s="46">
        <f>SUM(H598:H599:H600)</f>
        <v>4.96</v>
      </c>
      <c r="I601" s="185" t="s">
        <v>15</v>
      </c>
    </row>
    <row r="602" spans="1:9" ht="15" customHeight="1">
      <c r="A602" s="165"/>
      <c r="B602" s="182"/>
      <c r="C602" s="182"/>
      <c r="D602" s="182"/>
      <c r="E602" s="182"/>
      <c r="F602" s="182"/>
      <c r="G602" s="172"/>
      <c r="H602" s="184"/>
      <c r="I602" s="185"/>
    </row>
    <row r="603" spans="1:9" ht="15" customHeight="1">
      <c r="A603" s="165" t="s">
        <v>10</v>
      </c>
      <c r="B603" s="182"/>
      <c r="C603" s="182"/>
      <c r="D603" s="182"/>
      <c r="E603" s="182"/>
      <c r="F603" s="7"/>
      <c r="G603" s="172"/>
      <c r="H603" s="184">
        <f>H503</f>
        <v>576</v>
      </c>
      <c r="I603" s="185" t="s">
        <v>16</v>
      </c>
    </row>
    <row r="604" spans="1:9" ht="15" customHeight="1">
      <c r="A604" s="165"/>
      <c r="B604" s="182"/>
      <c r="C604" s="182"/>
      <c r="D604" s="182"/>
      <c r="E604" s="182"/>
      <c r="F604" s="182"/>
      <c r="G604" s="183"/>
      <c r="H604" s="184"/>
      <c r="I604" s="185"/>
    </row>
    <row r="605" spans="1:9" ht="15" customHeight="1">
      <c r="A605" s="165" t="s">
        <v>11</v>
      </c>
      <c r="B605" s="182"/>
      <c r="C605" s="182"/>
      <c r="D605" s="182"/>
      <c r="E605" s="182"/>
      <c r="F605" s="182"/>
      <c r="G605" s="183"/>
      <c r="H605" s="14">
        <f>H603/H601</f>
        <v>116.12903225806451</v>
      </c>
      <c r="I605" s="185" t="s">
        <v>17</v>
      </c>
    </row>
    <row r="606" spans="1:9" ht="15" customHeight="1">
      <c r="A606" s="165"/>
      <c r="B606" s="182"/>
      <c r="C606" s="182"/>
      <c r="D606" s="182"/>
      <c r="E606" s="182"/>
      <c r="F606" s="182"/>
      <c r="G606" s="183"/>
      <c r="H606" s="184"/>
      <c r="I606" s="185"/>
    </row>
    <row r="607" spans="1:9" s="351" customFormat="1" ht="15" customHeight="1">
      <c r="A607" s="165" t="s">
        <v>407</v>
      </c>
      <c r="B607" s="182"/>
      <c r="C607" s="182"/>
      <c r="D607" s="182"/>
      <c r="E607" s="182"/>
      <c r="F607" s="182"/>
      <c r="G607" s="183"/>
      <c r="H607" s="414">
        <f>H593*H605</f>
        <v>815374.05628002738</v>
      </c>
      <c r="I607" s="185" t="s">
        <v>18</v>
      </c>
    </row>
    <row r="608" spans="1:9" s="351" customFormat="1" ht="15" customHeight="1">
      <c r="A608" s="166"/>
      <c r="B608" s="192"/>
      <c r="C608" s="192"/>
      <c r="D608" s="192"/>
      <c r="E608" s="192"/>
      <c r="F608" s="192"/>
      <c r="G608" s="193"/>
      <c r="H608" s="230"/>
      <c r="I608" s="195"/>
    </row>
    <row r="609" spans="1:9" s="351" customFormat="1" ht="15" customHeight="1">
      <c r="A609"/>
      <c r="B609"/>
      <c r="C609"/>
      <c r="D609"/>
      <c r="E609"/>
      <c r="F609"/>
      <c r="G609" s="237"/>
      <c r="H609"/>
      <c r="I609" s="237"/>
    </row>
    <row r="610" spans="1:9" s="351" customFormat="1" ht="15" customHeight="1">
      <c r="A610"/>
      <c r="B610"/>
      <c r="C610"/>
      <c r="D610"/>
      <c r="E610"/>
      <c r="F610"/>
      <c r="G610" s="237"/>
      <c r="H610"/>
      <c r="I610" s="237"/>
    </row>
    <row r="611" spans="1:9" ht="15" customHeight="1">
      <c r="A611" s="770" t="str">
        <f>A536</f>
        <v>Canal Porto Novo</v>
      </c>
      <c r="B611" s="770"/>
      <c r="C611" s="770"/>
      <c r="D611" s="770"/>
      <c r="E611" s="770"/>
      <c r="F611" s="770"/>
      <c r="G611" s="770"/>
      <c r="H611" s="770"/>
      <c r="I611" s="770"/>
    </row>
    <row r="612" spans="1:9" ht="15" customHeight="1">
      <c r="A612" s="55"/>
      <c r="B612" s="55"/>
      <c r="C612" s="55"/>
      <c r="D612" s="55"/>
      <c r="E612" s="55"/>
      <c r="F612" s="55"/>
      <c r="G612" s="55"/>
      <c r="H612" s="55"/>
      <c r="I612" s="55"/>
    </row>
    <row r="613" spans="1:9" ht="15" customHeight="1">
      <c r="A613" s="358" t="s">
        <v>490</v>
      </c>
      <c r="B613" s="377"/>
      <c r="C613" s="377"/>
      <c r="D613" s="377"/>
      <c r="E613" s="377"/>
      <c r="F613" s="377"/>
      <c r="G613" s="465"/>
      <c r="H613" s="677">
        <f>ROUND(H577/H607,2)</f>
        <v>14.33</v>
      </c>
      <c r="I613" s="359" t="s">
        <v>107</v>
      </c>
    </row>
    <row r="614" spans="1:9" ht="15" customHeight="1">
      <c r="A614" s="353"/>
      <c r="B614" s="354"/>
      <c r="C614" s="354"/>
      <c r="D614" s="354"/>
      <c r="E614" s="354"/>
      <c r="F614" s="354"/>
      <c r="G614" s="463"/>
      <c r="H614" s="184"/>
      <c r="I614" s="356"/>
    </row>
    <row r="615" spans="1:9" ht="15" customHeight="1">
      <c r="A615" s="353" t="s">
        <v>491</v>
      </c>
      <c r="B615" s="354"/>
      <c r="C615" s="354"/>
      <c r="D615" s="354"/>
      <c r="E615" s="354"/>
      <c r="F615" s="354"/>
      <c r="G615" s="463"/>
      <c r="H615" s="207">
        <f>H560</f>
        <v>1891950.049868159</v>
      </c>
      <c r="I615" s="356" t="s">
        <v>13</v>
      </c>
    </row>
    <row r="616" spans="1:9" ht="15" customHeight="1">
      <c r="A616" s="353"/>
      <c r="B616" s="354"/>
      <c r="C616" s="354"/>
      <c r="D616" s="354"/>
      <c r="E616" s="354"/>
      <c r="F616" s="354"/>
      <c r="G616" s="463"/>
      <c r="H616" s="184"/>
      <c r="I616" s="356"/>
    </row>
    <row r="617" spans="1:9" ht="15" customHeight="1">
      <c r="A617" s="353" t="s">
        <v>437</v>
      </c>
      <c r="B617" s="354"/>
      <c r="C617" s="354"/>
      <c r="D617" s="354"/>
      <c r="E617" s="354"/>
      <c r="F617" s="354"/>
      <c r="G617" s="463"/>
      <c r="H617" s="221">
        <f>Assoreamento!J6</f>
        <v>2</v>
      </c>
      <c r="I617" s="356" t="s">
        <v>492</v>
      </c>
    </row>
    <row r="618" spans="1:9" ht="15" customHeight="1">
      <c r="A618" s="353"/>
      <c r="B618" s="354"/>
      <c r="C618" s="354"/>
      <c r="D618" s="354"/>
      <c r="E618" s="354"/>
      <c r="F618" s="354"/>
      <c r="G618" s="463"/>
      <c r="H618" s="184"/>
      <c r="I618" s="356"/>
    </row>
    <row r="619" spans="1:9" ht="15" customHeight="1">
      <c r="A619" s="353" t="s">
        <v>493</v>
      </c>
      <c r="B619" s="354"/>
      <c r="C619" s="354"/>
      <c r="D619" s="354"/>
      <c r="E619" s="354"/>
      <c r="F619" s="354"/>
      <c r="G619" s="463"/>
      <c r="H619" s="380">
        <f>H615*30/H607/H617</f>
        <v>34.805192205276612</v>
      </c>
      <c r="I619" s="356" t="s">
        <v>100</v>
      </c>
    </row>
    <row r="620" spans="1:9" ht="15" customHeight="1">
      <c r="A620" s="678"/>
      <c r="B620" s="354"/>
      <c r="C620" s="354"/>
      <c r="D620" s="354"/>
      <c r="E620" s="354"/>
      <c r="F620" s="354"/>
      <c r="G620" s="463"/>
      <c r="H620" s="184"/>
      <c r="I620" s="679"/>
    </row>
    <row r="621" spans="1:9" ht="15" customHeight="1">
      <c r="A621" s="353" t="s">
        <v>494</v>
      </c>
      <c r="B621" s="354"/>
      <c r="C621" s="354"/>
      <c r="D621" s="354"/>
      <c r="E621" s="354"/>
      <c r="F621" s="354"/>
      <c r="G621" s="463"/>
      <c r="H621" s="173">
        <f>Assoreamento!L6</f>
        <v>19347.417902055913</v>
      </c>
      <c r="I621" s="356" t="s">
        <v>13</v>
      </c>
    </row>
    <row r="622" spans="1:9" ht="15" customHeight="1">
      <c r="A622" s="353"/>
      <c r="B622" s="354"/>
      <c r="C622" s="354"/>
      <c r="D622" s="354"/>
      <c r="E622" s="354"/>
      <c r="F622" s="354"/>
      <c r="G622" s="463"/>
      <c r="H622" s="184"/>
      <c r="I622" s="356"/>
    </row>
    <row r="623" spans="1:9" ht="15" customHeight="1">
      <c r="A623" s="353" t="s">
        <v>495</v>
      </c>
      <c r="B623" s="354"/>
      <c r="C623" s="354"/>
      <c r="D623" s="354"/>
      <c r="E623" s="354"/>
      <c r="F623" s="354"/>
      <c r="G623" s="463"/>
      <c r="H623" s="191">
        <f>H621*30/H607/H617</f>
        <v>0.35592408943554887</v>
      </c>
      <c r="I623" s="356" t="s">
        <v>100</v>
      </c>
    </row>
    <row r="624" spans="1:9" ht="15" customHeight="1">
      <c r="A624" s="353"/>
      <c r="B624" s="354"/>
      <c r="C624" s="354"/>
      <c r="D624" s="354"/>
      <c r="E624" s="354"/>
      <c r="F624" s="354"/>
      <c r="G624" s="463"/>
      <c r="H624" s="187"/>
      <c r="I624" s="356"/>
    </row>
    <row r="625" spans="1:9" ht="15" customHeight="1">
      <c r="A625" s="353" t="s">
        <v>496</v>
      </c>
      <c r="B625" s="354"/>
      <c r="C625" s="354"/>
      <c r="D625" s="354"/>
      <c r="E625" s="489"/>
      <c r="F625" s="354"/>
      <c r="G625" s="463"/>
      <c r="H625" s="173">
        <f>Assoreamento!M6</f>
        <v>129291.01404088279</v>
      </c>
      <c r="I625" s="356" t="s">
        <v>13</v>
      </c>
    </row>
    <row r="626" spans="1:9" ht="15" customHeight="1">
      <c r="A626" s="353"/>
      <c r="B626" s="354"/>
      <c r="C626" s="354"/>
      <c r="D626" s="354"/>
      <c r="E626" s="354"/>
      <c r="F626" s="354"/>
      <c r="G626" s="463"/>
      <c r="H626" s="187"/>
      <c r="I626" s="356"/>
    </row>
    <row r="627" spans="1:9" ht="15" customHeight="1">
      <c r="A627" s="355" t="s">
        <v>497</v>
      </c>
      <c r="B627" s="378"/>
      <c r="C627" s="378"/>
      <c r="D627" s="378"/>
      <c r="E627" s="378"/>
      <c r="F627" s="378"/>
      <c r="G627" s="462"/>
      <c r="H627" s="325">
        <f>H625*30/H607/H617</f>
        <v>2.3784975689086649</v>
      </c>
      <c r="I627" s="357" t="s">
        <v>100</v>
      </c>
    </row>
    <row r="628" spans="1:9" ht="15" customHeight="1">
      <c r="A628" s="381"/>
      <c r="B628" s="680"/>
      <c r="C628" s="680"/>
      <c r="D628" s="680"/>
      <c r="E628" s="680"/>
      <c r="F628" s="680"/>
      <c r="G628" s="680"/>
      <c r="H628" s="681"/>
      <c r="I628" s="421"/>
    </row>
    <row r="629" spans="1:9" ht="15" customHeight="1">
      <c r="A629" s="200" t="s">
        <v>498</v>
      </c>
      <c r="B629" s="364"/>
      <c r="C629" s="364"/>
      <c r="D629" s="364"/>
      <c r="E629" s="364"/>
      <c r="F629" s="364"/>
      <c r="G629" s="376"/>
      <c r="H629" s="682">
        <f>SUM(H621,H625)</f>
        <v>148638.43194293871</v>
      </c>
      <c r="I629" s="201" t="s">
        <v>13</v>
      </c>
    </row>
    <row r="630" spans="1:9" ht="15" customHeight="1">
      <c r="A630" s="57"/>
      <c r="B630" s="174"/>
      <c r="C630" s="174"/>
      <c r="D630" s="174"/>
      <c r="E630" s="683"/>
      <c r="F630" s="683"/>
      <c r="G630" s="683"/>
      <c r="H630" s="57"/>
      <c r="I630" s="684"/>
    </row>
    <row r="631" spans="1:9" ht="15" customHeight="1">
      <c r="A631" s="685" t="s">
        <v>499</v>
      </c>
      <c r="B631" s="364"/>
      <c r="C631" s="364"/>
      <c r="D631" s="364"/>
      <c r="E631" s="364"/>
      <c r="F631" s="364"/>
      <c r="G631" s="376"/>
      <c r="H631" s="686">
        <f>SUM(H619,H623,H627)</f>
        <v>37.539613863620822</v>
      </c>
      <c r="I631" s="356" t="s">
        <v>100</v>
      </c>
    </row>
    <row r="632" spans="1:9" ht="15" customHeight="1">
      <c r="A632" s="687"/>
      <c r="B632" s="352"/>
      <c r="C632" s="352"/>
      <c r="D632" s="352"/>
      <c r="E632" s="352"/>
      <c r="F632" s="352"/>
      <c r="G632" s="374"/>
      <c r="H632" s="352"/>
      <c r="I632" s="688"/>
    </row>
    <row r="633" spans="1:9" ht="15" customHeight="1">
      <c r="A633" s="200" t="s">
        <v>500</v>
      </c>
      <c r="B633" s="364"/>
      <c r="C633" s="364"/>
      <c r="D633" s="364"/>
      <c r="E633" s="364"/>
      <c r="F633" s="364"/>
      <c r="G633" s="376"/>
      <c r="H633" s="689">
        <f>H613*SUM(H615,H621,H625)</f>
        <v>29241632.944353029</v>
      </c>
      <c r="I633" s="462" t="s">
        <v>23</v>
      </c>
    </row>
    <row r="634" spans="1:9" ht="15" customHeight="1">
      <c r="A634" s="364"/>
      <c r="B634" s="364"/>
      <c r="C634" s="364"/>
      <c r="D634" s="364"/>
      <c r="E634" s="364"/>
      <c r="F634" s="364"/>
      <c r="G634" s="204"/>
      <c r="H634" s="364"/>
      <c r="I634" s="204"/>
    </row>
    <row r="635" spans="1:9" ht="15" customHeight="1">
      <c r="A635" s="93"/>
      <c r="B635" s="93"/>
      <c r="C635" s="93"/>
      <c r="D635" s="93"/>
      <c r="E635" s="93"/>
      <c r="F635" s="93"/>
      <c r="G635" s="94"/>
      <c r="H635" s="93"/>
      <c r="I635" s="94"/>
    </row>
    <row r="636" spans="1:9" ht="15" customHeight="1">
      <c r="A636" s="771" t="str">
        <f>A36</f>
        <v>Berços Porto Novo</v>
      </c>
      <c r="B636" s="772"/>
      <c r="C636" s="772"/>
      <c r="D636" s="772"/>
      <c r="E636" s="772"/>
      <c r="F636" s="772"/>
      <c r="G636" s="772"/>
      <c r="H636" s="772"/>
      <c r="I636" s="773"/>
    </row>
    <row r="637" spans="1:9" ht="15" customHeight="1"/>
    <row r="638" spans="1:9" ht="15" customHeight="1">
      <c r="A638" s="734" t="s">
        <v>363</v>
      </c>
      <c r="B638" s="734"/>
      <c r="C638" s="734"/>
      <c r="D638" s="734"/>
      <c r="E638" s="734"/>
      <c r="F638" s="734"/>
      <c r="G638" s="734"/>
      <c r="H638" s="734"/>
      <c r="I638" s="734"/>
    </row>
    <row r="639" spans="1:9" ht="15" customHeight="1">
      <c r="A639" s="167"/>
      <c r="B639" s="176"/>
      <c r="C639" s="176"/>
      <c r="D639" s="176"/>
      <c r="E639" s="176"/>
      <c r="F639" s="176"/>
      <c r="G639" s="176"/>
      <c r="H639" s="176"/>
      <c r="I639" s="176"/>
    </row>
    <row r="640" spans="1:9" ht="15" customHeight="1">
      <c r="A640" s="5" t="s">
        <v>199</v>
      </c>
      <c r="B640" s="5"/>
      <c r="C640" s="182"/>
      <c r="D640" s="182"/>
      <c r="E640" s="182"/>
      <c r="F640" s="182"/>
      <c r="G640" s="182"/>
      <c r="H640" s="182"/>
      <c r="I640" s="182"/>
    </row>
    <row r="641" spans="1:9" ht="15" customHeight="1">
      <c r="A641" s="774" t="s">
        <v>371</v>
      </c>
      <c r="B641" s="774"/>
      <c r="C641" s="774"/>
      <c r="D641" s="774"/>
      <c r="E641" s="774"/>
      <c r="F641" s="774"/>
      <c r="G641" s="774"/>
      <c r="H641" s="774"/>
      <c r="I641" s="774"/>
    </row>
    <row r="642" spans="1:9" ht="15" customHeight="1">
      <c r="A642" s="774"/>
      <c r="B642" s="774"/>
      <c r="C642" s="774"/>
      <c r="D642" s="774"/>
      <c r="E642" s="774"/>
      <c r="F642" s="774"/>
      <c r="G642" s="774"/>
      <c r="H642" s="774"/>
      <c r="I642" s="774"/>
    </row>
    <row r="643" spans="1:9" ht="15" customHeight="1">
      <c r="A643" s="329"/>
      <c r="B643" s="329"/>
      <c r="C643" s="329"/>
      <c r="D643" s="329"/>
      <c r="E643" s="329"/>
      <c r="F643" s="329"/>
      <c r="G643" s="329"/>
      <c r="H643" s="329"/>
      <c r="I643" s="329"/>
    </row>
    <row r="644" spans="1:9" ht="15" customHeight="1">
      <c r="A644" s="329"/>
      <c r="B644" s="329"/>
      <c r="C644" s="329"/>
      <c r="D644" s="329"/>
      <c r="E644" s="329"/>
      <c r="F644" s="329"/>
      <c r="G644" s="329"/>
      <c r="H644" s="329"/>
      <c r="I644" s="329"/>
    </row>
    <row r="645" spans="1:9" ht="15" customHeight="1">
      <c r="A645" s="774" t="s">
        <v>357</v>
      </c>
      <c r="B645" s="774"/>
      <c r="C645" s="774"/>
      <c r="D645" s="774"/>
      <c r="E645" s="774"/>
      <c r="F645" s="774"/>
      <c r="G645" s="774"/>
      <c r="H645" s="774"/>
      <c r="I645" s="774"/>
    </row>
    <row r="646" spans="1:9" ht="15" customHeight="1">
      <c r="A646" s="774"/>
      <c r="B646" s="774"/>
      <c r="C646" s="774"/>
      <c r="D646" s="774"/>
      <c r="E646" s="774"/>
      <c r="F646" s="774"/>
      <c r="G646" s="774"/>
      <c r="H646" s="774"/>
      <c r="I646" s="774"/>
    </row>
    <row r="647" spans="1:9" ht="15" customHeight="1"/>
    <row r="648" spans="1:9" ht="15" customHeight="1">
      <c r="A648" s="774" t="s">
        <v>372</v>
      </c>
      <c r="B648" s="774"/>
      <c r="C648" s="774"/>
      <c r="D648" s="774"/>
      <c r="E648" s="774"/>
      <c r="F648" s="774"/>
      <c r="G648" s="774"/>
      <c r="H648" s="774"/>
      <c r="I648" s="774"/>
    </row>
    <row r="649" spans="1:9" ht="15" customHeight="1">
      <c r="A649" s="774"/>
      <c r="B649" s="774"/>
      <c r="C649" s="774"/>
      <c r="D649" s="774"/>
      <c r="E649" s="774"/>
      <c r="F649" s="774"/>
      <c r="G649" s="774"/>
      <c r="H649" s="774"/>
      <c r="I649" s="774"/>
    </row>
    <row r="650" spans="1:9" ht="15" customHeight="1">
      <c r="A650" s="774"/>
      <c r="B650" s="774"/>
      <c r="C650" s="774"/>
      <c r="D650" s="774"/>
      <c r="E650" s="774"/>
      <c r="F650" s="774"/>
      <c r="G650" s="774"/>
      <c r="H650" s="774"/>
      <c r="I650" s="774"/>
    </row>
    <row r="651" spans="1:9" ht="15" customHeight="1">
      <c r="A651" s="774"/>
      <c r="B651" s="774"/>
      <c r="C651" s="774"/>
      <c r="D651" s="774"/>
      <c r="E651" s="774"/>
      <c r="F651" s="774"/>
      <c r="G651" s="774"/>
      <c r="H651" s="774"/>
      <c r="I651" s="774"/>
    </row>
    <row r="652" spans="1:9" ht="15" customHeight="1"/>
    <row r="653" spans="1:9" ht="15" customHeight="1">
      <c r="A653" s="176" t="s">
        <v>114</v>
      </c>
      <c r="B653" s="176"/>
      <c r="C653" s="176"/>
      <c r="D653" s="176"/>
      <c r="E653" s="176"/>
      <c r="F653" s="176"/>
      <c r="G653" s="176"/>
      <c r="H653" s="176"/>
      <c r="I653" s="176"/>
    </row>
    <row r="654" spans="1:9" ht="15" customHeight="1">
      <c r="A654" s="167"/>
      <c r="B654" s="167"/>
      <c r="C654" s="167"/>
      <c r="D654" s="167"/>
      <c r="E654" s="167"/>
      <c r="F654" s="167"/>
      <c r="G654" s="168"/>
      <c r="H654" s="167"/>
      <c r="I654" s="168"/>
    </row>
    <row r="655" spans="1:9" ht="15" customHeight="1">
      <c r="A655" s="164" t="s">
        <v>30</v>
      </c>
      <c r="B655" s="178"/>
      <c r="C655" s="178"/>
      <c r="D655" s="178"/>
      <c r="E655" s="178"/>
      <c r="F655" s="178"/>
      <c r="G655" s="179"/>
      <c r="H655" s="180">
        <f>ROUND(MAX(RESUMO!$B$4:$D$4),2)</f>
        <v>3.25</v>
      </c>
      <c r="I655" s="181" t="s">
        <v>23</v>
      </c>
    </row>
    <row r="656" spans="1:9" ht="15" customHeight="1">
      <c r="A656" s="165"/>
      <c r="B656" s="182"/>
      <c r="C656" s="182"/>
      <c r="D656" s="182"/>
      <c r="E656" s="182"/>
      <c r="F656" s="182"/>
      <c r="G656" s="183"/>
      <c r="H656" s="184"/>
      <c r="I656" s="185"/>
    </row>
    <row r="657" spans="1:9" ht="15" customHeight="1">
      <c r="A657" s="67" t="s">
        <v>359</v>
      </c>
      <c r="B657" s="57"/>
      <c r="C657" s="57"/>
      <c r="D657" s="57"/>
      <c r="E657" s="57"/>
      <c r="F657" s="57"/>
      <c r="G657" s="68"/>
      <c r="H657" s="231" t="s">
        <v>358</v>
      </c>
      <c r="I657" s="70" t="s">
        <v>173</v>
      </c>
    </row>
    <row r="658" spans="1:9" ht="15" customHeight="1">
      <c r="A658" s="165"/>
      <c r="B658" s="182"/>
      <c r="C658" s="182"/>
      <c r="D658" s="182"/>
      <c r="E658" s="182"/>
      <c r="F658" s="182"/>
      <c r="G658" s="183"/>
      <c r="H658" s="187"/>
      <c r="I658" s="185"/>
    </row>
    <row r="659" spans="1:9" ht="15" customHeight="1">
      <c r="A659" s="165" t="s">
        <v>174</v>
      </c>
      <c r="B659" s="182"/>
      <c r="C659" s="182" t="s">
        <v>77</v>
      </c>
      <c r="E659" s="182"/>
      <c r="F659" s="182"/>
      <c r="G659" s="183"/>
      <c r="H659" s="66">
        <f>2120000*1.03</f>
        <v>2183600</v>
      </c>
      <c r="I659" s="185" t="s">
        <v>21</v>
      </c>
    </row>
    <row r="660" spans="1:9" ht="15" customHeight="1">
      <c r="A660" s="165"/>
      <c r="B660" s="182"/>
      <c r="C660" s="182"/>
      <c r="D660" s="182"/>
      <c r="E660" s="182"/>
      <c r="F660" s="182"/>
      <c r="G660" s="183"/>
      <c r="H660" s="184"/>
      <c r="I660" s="185"/>
    </row>
    <row r="661" spans="1:9" ht="15" customHeight="1">
      <c r="A661" s="165" t="s">
        <v>290</v>
      </c>
      <c r="B661" s="182"/>
      <c r="C661" s="182"/>
      <c r="D661" s="182"/>
      <c r="E661" s="182"/>
      <c r="F661" s="182"/>
      <c r="G661" s="214"/>
      <c r="H661" s="189">
        <v>3</v>
      </c>
      <c r="I661" s="185" t="s">
        <v>13</v>
      </c>
    </row>
    <row r="662" spans="1:9" ht="15" customHeight="1">
      <c r="A662" s="165"/>
      <c r="B662" s="182"/>
      <c r="C662" s="182"/>
      <c r="D662" s="182"/>
      <c r="E662" s="182"/>
      <c r="F662" s="182"/>
      <c r="G662" s="183"/>
      <c r="H662" s="184"/>
      <c r="I662" s="185"/>
    </row>
    <row r="663" spans="1:9" ht="15" customHeight="1">
      <c r="A663" s="165" t="s">
        <v>292</v>
      </c>
      <c r="B663" s="182"/>
      <c r="C663" s="182"/>
      <c r="D663" s="182"/>
      <c r="E663" s="182"/>
      <c r="F663" s="182"/>
      <c r="G663" s="183"/>
      <c r="H663" s="189">
        <v>240</v>
      </c>
      <c r="I663" s="185" t="s">
        <v>37</v>
      </c>
    </row>
    <row r="664" spans="1:9" ht="15" customHeight="1">
      <c r="A664" s="165"/>
      <c r="B664" s="182"/>
      <c r="C664" s="182"/>
      <c r="D664" s="182"/>
      <c r="E664" s="182"/>
      <c r="F664" s="182"/>
      <c r="G664" s="183"/>
      <c r="H664" s="184"/>
      <c r="I664" s="185"/>
    </row>
    <row r="665" spans="1:9" ht="15" customHeight="1">
      <c r="A665" s="165" t="s">
        <v>76</v>
      </c>
      <c r="B665" s="182"/>
      <c r="C665" s="182"/>
      <c r="D665" s="182"/>
      <c r="E665" s="182"/>
      <c r="F665" s="182"/>
      <c r="G665" s="183"/>
      <c r="H665" s="190">
        <f>RESUMO!$B$13</f>
        <v>724</v>
      </c>
      <c r="I665" s="185" t="s">
        <v>23</v>
      </c>
    </row>
    <row r="666" spans="1:9" ht="15" customHeight="1">
      <c r="A666" s="165"/>
      <c r="B666" s="182"/>
      <c r="C666" s="182"/>
      <c r="D666" s="182"/>
      <c r="E666" s="182"/>
      <c r="F666" s="182"/>
      <c r="G666" s="183"/>
      <c r="H666" s="184"/>
      <c r="I666" s="185"/>
    </row>
    <row r="667" spans="1:9" ht="15" customHeight="1">
      <c r="A667" s="165" t="s">
        <v>176</v>
      </c>
      <c r="B667" s="182"/>
      <c r="C667" s="182"/>
      <c r="D667" s="182" t="s">
        <v>178</v>
      </c>
      <c r="E667" s="182"/>
      <c r="F667" s="182"/>
      <c r="G667" s="183"/>
      <c r="H667" s="190">
        <f>ROUND(MAX(RESUMO!$B$8:$D$8),2)</f>
        <v>2.56</v>
      </c>
      <c r="I667" s="185" t="s">
        <v>23</v>
      </c>
    </row>
    <row r="668" spans="1:9" ht="15" customHeight="1">
      <c r="A668" s="165"/>
      <c r="B668" s="182"/>
      <c r="C668" s="182"/>
      <c r="D668" s="182"/>
      <c r="E668" s="182"/>
      <c r="F668" s="182"/>
      <c r="G668" s="183"/>
      <c r="H668" s="191"/>
      <c r="I668" s="185"/>
    </row>
    <row r="669" spans="1:9" ht="15" customHeight="1">
      <c r="A669" s="165" t="s">
        <v>119</v>
      </c>
      <c r="B669" s="182"/>
      <c r="C669" s="182"/>
      <c r="D669" s="182"/>
      <c r="E669" s="182"/>
      <c r="F669" s="182"/>
      <c r="G669" s="183"/>
      <c r="H669" s="425" t="s">
        <v>412</v>
      </c>
      <c r="I669" s="426"/>
    </row>
    <row r="670" spans="1:9" ht="15" customHeight="1">
      <c r="A670" s="165"/>
      <c r="B670" s="182"/>
      <c r="C670" s="182"/>
      <c r="D670" s="182"/>
      <c r="E670" s="182"/>
      <c r="F670" s="182"/>
      <c r="G670" s="183"/>
      <c r="H670" s="191"/>
      <c r="I670" s="185"/>
    </row>
    <row r="671" spans="1:9" ht="15" customHeight="1">
      <c r="A671" s="166" t="s">
        <v>179</v>
      </c>
      <c r="B671" s="192"/>
      <c r="C671" s="192"/>
      <c r="D671" s="192"/>
      <c r="E671" s="192"/>
      <c r="F671" s="192"/>
      <c r="G671" s="193"/>
      <c r="H671" s="194">
        <f>VLOOKUP(A636,$A$33:$H$36,8,FALSE)+VLOOKUP(A636,$A$55:$G$58,6,FALSE)</f>
        <v>141122.70013184127</v>
      </c>
      <c r="I671" s="195" t="s">
        <v>13</v>
      </c>
    </row>
    <row r="672" spans="1:9" ht="15" customHeight="1">
      <c r="A672" s="167"/>
      <c r="B672" s="167"/>
      <c r="C672" s="167"/>
      <c r="D672" s="167"/>
      <c r="E672" s="167"/>
      <c r="F672" s="167"/>
      <c r="G672" s="168"/>
      <c r="H672" s="167"/>
      <c r="I672" s="168"/>
    </row>
    <row r="673" spans="1:9" ht="15" customHeight="1">
      <c r="A673" s="196" t="s">
        <v>39</v>
      </c>
      <c r="B673" s="167" t="s">
        <v>40</v>
      </c>
      <c r="C673" s="167"/>
      <c r="D673" s="167"/>
      <c r="E673" s="167"/>
      <c r="F673" s="167"/>
      <c r="G673" s="168"/>
      <c r="H673" s="312"/>
      <c r="I673" s="168"/>
    </row>
    <row r="674" spans="1:9" ht="15" customHeight="1">
      <c r="A674" s="182" t="s">
        <v>175</v>
      </c>
      <c r="B674" s="176" t="s">
        <v>177</v>
      </c>
      <c r="C674" s="176"/>
      <c r="D674" s="176"/>
      <c r="E674" s="176"/>
      <c r="F674" s="176"/>
      <c r="G674" s="176"/>
      <c r="H674" s="176"/>
      <c r="I674" s="176"/>
    </row>
    <row r="675" spans="1:9" ht="15" customHeight="1">
      <c r="A675" s="224"/>
      <c r="B675" s="224"/>
      <c r="C675" s="224"/>
      <c r="D675" s="48"/>
      <c r="E675" s="224"/>
      <c r="F675" s="224"/>
      <c r="G675" s="225"/>
      <c r="H675" s="224"/>
      <c r="I675" s="225"/>
    </row>
    <row r="676" spans="1:9" ht="15" customHeight="1">
      <c r="A676" s="224"/>
      <c r="B676" s="224"/>
      <c r="C676" s="224"/>
      <c r="D676" s="224"/>
      <c r="E676" s="224"/>
      <c r="F676" s="224"/>
      <c r="G676" s="225"/>
      <c r="H676" s="224"/>
      <c r="I676" s="225"/>
    </row>
    <row r="677" spans="1:9" ht="15" customHeight="1">
      <c r="A677" s="224"/>
      <c r="B677" s="224"/>
      <c r="C677" s="224"/>
      <c r="D677" s="224"/>
      <c r="E677" s="224"/>
      <c r="F677" s="224"/>
      <c r="G677" s="225"/>
      <c r="H677" s="241"/>
      <c r="I677" s="225"/>
    </row>
    <row r="678" spans="1:9" ht="15" customHeight="1">
      <c r="A678" s="224"/>
      <c r="B678" s="224"/>
      <c r="C678" s="224"/>
      <c r="D678" s="224"/>
      <c r="E678" s="224"/>
      <c r="F678" s="224"/>
      <c r="G678" s="225"/>
      <c r="H678" s="224"/>
      <c r="I678" s="225"/>
    </row>
    <row r="679" spans="1:9" ht="15" customHeight="1">
      <c r="A679" s="224"/>
      <c r="B679" s="224"/>
      <c r="C679" s="224"/>
      <c r="D679" s="224"/>
      <c r="E679" s="224"/>
      <c r="F679" s="224"/>
      <c r="G679" s="225"/>
      <c r="H679" s="241"/>
      <c r="I679" s="225"/>
    </row>
    <row r="680" spans="1:9" ht="15" customHeight="1">
      <c r="A680" s="224"/>
      <c r="B680" s="224"/>
      <c r="C680" s="224"/>
      <c r="D680" s="224"/>
      <c r="E680" s="224"/>
      <c r="F680" s="224"/>
      <c r="G680" s="225"/>
      <c r="H680" s="241"/>
      <c r="I680" s="225"/>
    </row>
    <row r="681" spans="1:9" ht="15" customHeight="1">
      <c r="G681"/>
      <c r="I681"/>
    </row>
    <row r="682" spans="1:9" ht="15" customHeight="1">
      <c r="G682"/>
      <c r="I682"/>
    </row>
    <row r="683" spans="1:9" ht="15" customHeight="1">
      <c r="G683"/>
      <c r="I683"/>
    </row>
    <row r="684" spans="1:9" ht="15" customHeight="1">
      <c r="A684" s="378"/>
      <c r="B684" s="378"/>
      <c r="C684" s="378"/>
      <c r="D684" s="378"/>
      <c r="E684" s="378"/>
      <c r="F684" s="378"/>
      <c r="G684" s="411"/>
      <c r="H684" s="78"/>
      <c r="I684" s="411"/>
    </row>
    <row r="685" spans="1:9" ht="15" customHeight="1">
      <c r="A685" s="178"/>
      <c r="B685" s="178"/>
      <c r="C685" s="178"/>
      <c r="D685" s="178"/>
      <c r="E685" s="178"/>
      <c r="F685" s="178"/>
      <c r="G685" s="177"/>
      <c r="H685" s="178"/>
      <c r="I685" s="177"/>
    </row>
    <row r="686" spans="1:9" ht="15" customHeight="1">
      <c r="A686" s="738" t="s">
        <v>378</v>
      </c>
      <c r="B686" s="738"/>
      <c r="C686" s="738"/>
      <c r="D686" s="738"/>
      <c r="E686" s="738"/>
      <c r="F686" s="738"/>
      <c r="G686" s="738"/>
      <c r="H686" s="738"/>
      <c r="I686" s="738"/>
    </row>
    <row r="687" spans="1:9" ht="15" customHeight="1"/>
    <row r="688" spans="1:9" ht="15" customHeight="1">
      <c r="A688" s="769" t="s">
        <v>110</v>
      </c>
      <c r="B688" s="769"/>
      <c r="C688" s="769"/>
      <c r="D688" s="769"/>
      <c r="E688" s="769"/>
      <c r="F688" s="769"/>
      <c r="G688" s="769"/>
      <c r="H688" s="769"/>
      <c r="I688" s="769"/>
    </row>
    <row r="689" spans="1:9" ht="15" customHeight="1">
      <c r="A689" s="255"/>
      <c r="B689" s="255"/>
      <c r="C689" s="255"/>
      <c r="D689" s="255"/>
      <c r="E689" s="255"/>
      <c r="F689" s="255"/>
      <c r="G689" s="255"/>
      <c r="H689" s="255"/>
      <c r="I689" s="255"/>
    </row>
    <row r="690" spans="1:9" ht="15" customHeight="1">
      <c r="A690" s="167" t="s">
        <v>94</v>
      </c>
      <c r="B690" s="167"/>
      <c r="C690" s="167"/>
      <c r="D690" s="167"/>
      <c r="E690" s="167"/>
      <c r="F690" s="167"/>
      <c r="G690" s="168"/>
      <c r="H690" s="167"/>
      <c r="I690" s="168"/>
    </row>
    <row r="691" spans="1:9" ht="15" customHeight="1">
      <c r="A691" s="167"/>
      <c r="B691" s="358" t="s">
        <v>52</v>
      </c>
      <c r="C691" s="361"/>
      <c r="D691" s="407" t="s">
        <v>47</v>
      </c>
      <c r="E691" s="743">
        <f>12*G691*H665</f>
        <v>26064</v>
      </c>
      <c r="F691" s="744"/>
      <c r="G691" s="405">
        <v>3</v>
      </c>
      <c r="H691" s="167"/>
      <c r="I691" s="168"/>
    </row>
    <row r="692" spans="1:9" ht="15" customHeight="1">
      <c r="A692" s="167"/>
      <c r="B692" s="355" t="s">
        <v>53</v>
      </c>
      <c r="C692" s="363"/>
      <c r="D692" s="402" t="s">
        <v>51</v>
      </c>
      <c r="E692" s="755">
        <f>4*G692*H665</f>
        <v>8688</v>
      </c>
      <c r="F692" s="756"/>
      <c r="G692" s="403">
        <v>3</v>
      </c>
      <c r="H692" s="167"/>
      <c r="I692" s="168"/>
    </row>
    <row r="693" spans="1:9" ht="15" customHeight="1">
      <c r="A693" s="167"/>
      <c r="E693" s="166" t="s">
        <v>60</v>
      </c>
      <c r="F693" s="199"/>
      <c r="G693" s="195">
        <f>SUM(G691:G692)</f>
        <v>6</v>
      </c>
      <c r="H693" s="202"/>
      <c r="I693" s="168"/>
    </row>
    <row r="694" spans="1:9" ht="15" customHeight="1">
      <c r="A694" s="167"/>
      <c r="B694" s="182"/>
      <c r="C694" s="182"/>
      <c r="D694" s="214"/>
      <c r="E694" s="777"/>
      <c r="F694" s="777"/>
      <c r="G694" s="168" t="s">
        <v>61</v>
      </c>
      <c r="H694" s="202">
        <f>SUM(E691:F692)</f>
        <v>34752</v>
      </c>
      <c r="I694" s="168"/>
    </row>
    <row r="695" spans="1:9" ht="15" customHeight="1">
      <c r="A695" s="167"/>
      <c r="B695" s="167"/>
      <c r="C695" s="167"/>
      <c r="D695" s="168"/>
      <c r="E695" s="182"/>
      <c r="F695" s="182"/>
      <c r="G695" s="214"/>
      <c r="H695" s="167"/>
      <c r="I695" s="168"/>
    </row>
    <row r="696" spans="1:9" ht="15" customHeight="1">
      <c r="A696" s="167"/>
      <c r="B696" s="167"/>
      <c r="C696" s="167"/>
      <c r="D696" s="168"/>
      <c r="E696" s="167"/>
      <c r="F696" s="167"/>
      <c r="H696" s="202"/>
      <c r="I696" s="168"/>
    </row>
    <row r="697" spans="1:9" ht="15" customHeight="1">
      <c r="A697" s="167"/>
      <c r="B697" s="167"/>
      <c r="C697" s="167"/>
      <c r="D697" s="168"/>
      <c r="E697" s="167"/>
      <c r="F697" s="167"/>
      <c r="G697" s="168"/>
      <c r="H697" s="167"/>
      <c r="I697" s="168"/>
    </row>
    <row r="698" spans="1:9" ht="15" customHeight="1">
      <c r="A698" s="167" t="s">
        <v>62</v>
      </c>
      <c r="B698" s="167"/>
      <c r="C698" s="167"/>
      <c r="D698" s="168"/>
      <c r="E698" s="167"/>
      <c r="F698" s="167"/>
      <c r="G698" s="168"/>
      <c r="H698" s="167"/>
      <c r="I698" s="168"/>
    </row>
    <row r="699" spans="1:9" ht="15" customHeight="1">
      <c r="A699" s="167"/>
      <c r="B699" s="358" t="s">
        <v>63</v>
      </c>
      <c r="C699" s="361"/>
      <c r="D699" s="359" t="s">
        <v>64</v>
      </c>
      <c r="E699" s="743">
        <f>25*G699*H665</f>
        <v>18100</v>
      </c>
      <c r="F699" s="744"/>
      <c r="G699" s="359">
        <v>1</v>
      </c>
      <c r="H699" s="167"/>
      <c r="I699" s="168"/>
    </row>
    <row r="700" spans="1:9" ht="15" customHeight="1">
      <c r="A700" s="352"/>
      <c r="B700" s="353" t="s">
        <v>66</v>
      </c>
      <c r="C700" s="362"/>
      <c r="D700" s="356" t="s">
        <v>67</v>
      </c>
      <c r="E700" s="753">
        <f>3*G700*H716</f>
        <v>2172</v>
      </c>
      <c r="F700" s="804"/>
      <c r="G700" s="356">
        <v>1</v>
      </c>
      <c r="H700" s="352"/>
      <c r="I700" s="374"/>
    </row>
    <row r="701" spans="1:9" ht="15" customHeight="1">
      <c r="A701" s="352"/>
      <c r="B701" s="355" t="s">
        <v>68</v>
      </c>
      <c r="C701" s="363"/>
      <c r="D701" s="357" t="s">
        <v>55</v>
      </c>
      <c r="E701" s="755">
        <f>7*G701*H716</f>
        <v>5068</v>
      </c>
      <c r="F701" s="805"/>
      <c r="G701" s="357">
        <v>1</v>
      </c>
      <c r="H701" s="352"/>
      <c r="I701" s="374"/>
    </row>
    <row r="702" spans="1:9" ht="15" customHeight="1">
      <c r="A702" s="352"/>
      <c r="B702" s="352"/>
      <c r="C702" s="352"/>
      <c r="D702" s="352"/>
      <c r="E702" s="355" t="s">
        <v>60</v>
      </c>
      <c r="F702" s="363"/>
      <c r="G702" s="357">
        <f>SUM(G699:G701)</f>
        <v>3</v>
      </c>
      <c r="H702" s="351"/>
      <c r="I702" s="374"/>
    </row>
    <row r="703" spans="1:9" ht="15" customHeight="1">
      <c r="A703" s="352"/>
      <c r="B703" s="352"/>
      <c r="C703" s="352"/>
      <c r="D703" s="352"/>
      <c r="E703" s="352"/>
      <c r="F703" s="352"/>
      <c r="G703" s="374" t="s">
        <v>61</v>
      </c>
      <c r="H703" s="379">
        <f>E699+E700+E701</f>
        <v>25340</v>
      </c>
      <c r="I703" s="374"/>
    </row>
    <row r="704" spans="1:9" ht="15" customHeight="1">
      <c r="A704" s="167"/>
      <c r="B704" s="167"/>
      <c r="C704" s="167"/>
      <c r="D704" s="167"/>
      <c r="E704" s="167"/>
      <c r="F704" s="167"/>
      <c r="G704" s="168"/>
      <c r="H704" s="167"/>
      <c r="I704" s="168"/>
    </row>
    <row r="705" spans="1:9" ht="15" customHeight="1">
      <c r="A705" s="167" t="s">
        <v>70</v>
      </c>
      <c r="B705" s="167"/>
      <c r="C705" s="167"/>
      <c r="D705" s="167"/>
      <c r="E705" s="167"/>
      <c r="F705" s="167"/>
      <c r="G705" s="168"/>
      <c r="H705" s="167"/>
      <c r="I705" s="168"/>
    </row>
    <row r="706" spans="1:9" ht="15" customHeight="1">
      <c r="A706" s="167"/>
      <c r="B706" s="167"/>
      <c r="C706" s="167"/>
      <c r="D706" s="167" t="s">
        <v>71</v>
      </c>
      <c r="E706" s="167"/>
      <c r="F706" s="167"/>
      <c r="G706" s="168"/>
      <c r="H706" s="202">
        <f>2*H694</f>
        <v>69504</v>
      </c>
      <c r="I706" s="168"/>
    </row>
    <row r="707" spans="1:9" ht="15" customHeight="1">
      <c r="A707" s="167"/>
      <c r="B707" s="167"/>
      <c r="C707" s="167"/>
      <c r="D707" s="167" t="s">
        <v>72</v>
      </c>
      <c r="E707" s="167"/>
      <c r="F707" s="167"/>
      <c r="G707" s="168"/>
      <c r="H707" s="202">
        <f>H703</f>
        <v>25340</v>
      </c>
      <c r="I707" s="168"/>
    </row>
    <row r="708" spans="1:9" ht="15" customHeight="1">
      <c r="A708" s="167"/>
      <c r="B708" s="167"/>
      <c r="C708" s="167"/>
      <c r="D708" s="167"/>
      <c r="E708" s="167"/>
      <c r="F708" s="167"/>
      <c r="G708" s="168" t="s">
        <v>69</v>
      </c>
      <c r="H708" s="202">
        <f>H706+H707</f>
        <v>94844</v>
      </c>
      <c r="I708" s="168"/>
    </row>
    <row r="709" spans="1:9" ht="15" customHeight="1">
      <c r="A709" s="167"/>
      <c r="B709" s="167"/>
      <c r="C709" s="167"/>
      <c r="D709" s="167"/>
      <c r="E709" s="167"/>
      <c r="F709" s="167"/>
      <c r="G709" s="168"/>
      <c r="H709" s="167"/>
      <c r="I709" s="168"/>
    </row>
    <row r="710" spans="1:9" ht="15" customHeight="1">
      <c r="A710" s="167" t="s">
        <v>73</v>
      </c>
      <c r="B710" s="167"/>
      <c r="C710" s="167"/>
      <c r="E710" s="167"/>
      <c r="F710" s="167"/>
      <c r="G710" s="168"/>
      <c r="I710" s="168"/>
    </row>
    <row r="711" spans="1:9" ht="15" customHeight="1">
      <c r="A711" s="108" t="s">
        <v>193</v>
      </c>
      <c r="B711" s="19"/>
      <c r="C711" s="19"/>
      <c r="D711" s="109"/>
      <c r="E711" s="19"/>
      <c r="G711" s="109">
        <f>RESUMO!$B$15</f>
        <v>0.47710000000000002</v>
      </c>
      <c r="H711" s="202">
        <f>H708*G711</f>
        <v>45250.072400000005</v>
      </c>
      <c r="I711" s="168"/>
    </row>
    <row r="712" spans="1:9" ht="15" customHeight="1">
      <c r="A712" s="167"/>
      <c r="B712" s="167"/>
      <c r="C712" s="167"/>
      <c r="D712" s="167"/>
      <c r="E712" s="167"/>
      <c r="F712" s="167"/>
      <c r="G712" s="168"/>
      <c r="H712" s="167"/>
      <c r="I712" s="168"/>
    </row>
    <row r="713" spans="1:9" ht="15" customHeight="1">
      <c r="A713" s="200" t="s">
        <v>74</v>
      </c>
      <c r="B713" s="203"/>
      <c r="C713" s="203"/>
      <c r="D713" s="203"/>
      <c r="E713" s="203"/>
      <c r="F713" s="203"/>
      <c r="G713" s="204"/>
      <c r="H713" s="27">
        <f>H708+H711</f>
        <v>140094.0724</v>
      </c>
      <c r="I713" s="168"/>
    </row>
    <row r="714" spans="1:9" ht="15" customHeight="1">
      <c r="A714" s="167"/>
      <c r="B714" s="167"/>
      <c r="C714" s="167"/>
      <c r="D714" s="167"/>
      <c r="E714" s="167"/>
      <c r="F714" s="167"/>
      <c r="G714" s="168"/>
      <c r="H714" s="167"/>
      <c r="I714" s="168"/>
    </row>
    <row r="715" spans="1:9" ht="15" customHeight="1">
      <c r="A715" s="167"/>
      <c r="B715" s="167"/>
      <c r="C715" s="167"/>
      <c r="D715" s="167"/>
      <c r="E715" s="167"/>
      <c r="F715" s="167"/>
      <c r="G715" s="168"/>
      <c r="H715" s="167"/>
      <c r="I715" s="168"/>
    </row>
    <row r="716" spans="1:9" ht="15" customHeight="1">
      <c r="A716" s="167"/>
      <c r="B716" s="167"/>
      <c r="C716" s="167"/>
      <c r="D716" s="167"/>
      <c r="E716" s="167" t="s">
        <v>75</v>
      </c>
      <c r="F716" s="167"/>
      <c r="G716" s="168"/>
      <c r="H716" s="205">
        <f>RESUMO!B13</f>
        <v>724</v>
      </c>
      <c r="I716" s="168"/>
    </row>
    <row r="717" spans="1:9" ht="15" customHeight="1">
      <c r="A717" s="167"/>
      <c r="B717" s="167"/>
      <c r="C717" s="167"/>
      <c r="D717" s="167"/>
      <c r="E717" s="167"/>
      <c r="F717" s="167"/>
      <c r="G717" s="168"/>
      <c r="H717" s="167"/>
      <c r="I717" s="168"/>
    </row>
    <row r="718" spans="1:9" ht="15" customHeight="1">
      <c r="A718" s="167"/>
      <c r="B718" s="167"/>
      <c r="C718" s="167"/>
      <c r="D718" s="167"/>
      <c r="E718" s="167"/>
      <c r="F718" s="167"/>
      <c r="G718" s="168"/>
      <c r="H718" s="167"/>
      <c r="I718" s="168"/>
    </row>
    <row r="719" spans="1:9" ht="15" customHeight="1">
      <c r="A719" s="167"/>
      <c r="B719" s="167"/>
      <c r="C719" s="167"/>
      <c r="D719" s="167"/>
      <c r="E719" s="167"/>
      <c r="F719" s="167"/>
      <c r="G719" s="168"/>
      <c r="H719" s="167"/>
      <c r="I719" s="168"/>
    </row>
    <row r="720" spans="1:9" ht="15" customHeight="1">
      <c r="A720" s="167"/>
      <c r="B720" s="167"/>
      <c r="C720" s="168"/>
      <c r="G720"/>
      <c r="I720"/>
    </row>
    <row r="721" spans="1:9" ht="15" customHeight="1">
      <c r="A721" s="167"/>
      <c r="B721" s="167"/>
      <c r="C721" s="168"/>
      <c r="G721"/>
      <c r="I721"/>
    </row>
    <row r="722" spans="1:9" ht="15" customHeight="1">
      <c r="A722" s="167"/>
      <c r="B722" s="167"/>
      <c r="C722" s="168"/>
      <c r="G722"/>
      <c r="I722"/>
    </row>
    <row r="723" spans="1:9" ht="15" customHeight="1"/>
    <row r="724" spans="1:9" ht="15" customHeight="1"/>
    <row r="725" spans="1:9" ht="15" customHeight="1"/>
    <row r="726" spans="1:9" ht="15" customHeight="1"/>
    <row r="727" spans="1:9" ht="15" customHeight="1"/>
    <row r="728" spans="1:9" ht="15" customHeight="1"/>
    <row r="729" spans="1:9" ht="15" customHeight="1"/>
    <row r="730" spans="1:9" ht="15" customHeight="1"/>
    <row r="731" spans="1:9" ht="15" customHeight="1"/>
    <row r="732" spans="1:9" ht="15" customHeight="1"/>
    <row r="733" spans="1:9" ht="15" customHeight="1"/>
    <row r="734" spans="1:9" ht="15" customHeight="1">
      <c r="A734" s="101"/>
      <c r="B734" s="85"/>
      <c r="C734" s="85"/>
      <c r="D734" s="85"/>
      <c r="E734" s="85"/>
      <c r="F734" s="85"/>
      <c r="G734" s="85"/>
      <c r="H734" s="102"/>
      <c r="I734" s="102"/>
    </row>
    <row r="735" spans="1:9" ht="15" customHeight="1">
      <c r="A735" s="93"/>
      <c r="B735" s="93"/>
      <c r="C735" s="93"/>
      <c r="D735" s="93"/>
      <c r="E735" s="93"/>
      <c r="F735" s="93"/>
      <c r="G735" s="94"/>
      <c r="H735" s="93"/>
      <c r="I735" s="94"/>
    </row>
    <row r="736" spans="1:9" ht="15" customHeight="1">
      <c r="A736" s="718" t="s">
        <v>374</v>
      </c>
      <c r="B736" s="718"/>
      <c r="C736" s="718"/>
      <c r="D736" s="718"/>
      <c r="E736" s="718"/>
      <c r="F736" s="718"/>
      <c r="G736" s="718"/>
      <c r="H736" s="718"/>
      <c r="I736" s="718"/>
    </row>
    <row r="737" spans="1:9" ht="15" customHeight="1">
      <c r="A737" s="167"/>
      <c r="B737" s="167"/>
      <c r="C737" s="167"/>
      <c r="D737" s="167"/>
      <c r="E737" s="167"/>
      <c r="F737" s="167"/>
      <c r="G737" s="168"/>
      <c r="H737" s="167"/>
      <c r="I737" s="168"/>
    </row>
    <row r="738" spans="1:9" ht="15" customHeight="1">
      <c r="A738" s="19" t="s">
        <v>120</v>
      </c>
      <c r="B738" s="19"/>
      <c r="C738" s="19"/>
      <c r="D738" s="167"/>
      <c r="E738" s="167"/>
      <c r="F738" s="167"/>
      <c r="G738" s="168"/>
      <c r="H738" s="167"/>
      <c r="I738" s="168"/>
    </row>
    <row r="739" spans="1:9" ht="15" customHeight="1">
      <c r="A739" s="167"/>
      <c r="B739" s="167"/>
      <c r="C739" s="167"/>
      <c r="D739" s="167"/>
      <c r="E739" s="167"/>
      <c r="F739" s="167"/>
      <c r="G739" s="168"/>
      <c r="H739" s="167"/>
      <c r="I739" s="168"/>
    </row>
    <row r="740" spans="1:9" ht="15" customHeight="1">
      <c r="A740" s="19" t="s">
        <v>133</v>
      </c>
      <c r="B740" s="19"/>
      <c r="C740" s="19"/>
      <c r="D740" s="19"/>
      <c r="E740" s="19"/>
      <c r="F740" s="167"/>
      <c r="G740" s="168"/>
      <c r="H740" s="167"/>
      <c r="I740" s="168"/>
    </row>
    <row r="741" spans="1:9" ht="15" customHeight="1">
      <c r="A741" s="745" t="s">
        <v>355</v>
      </c>
      <c r="B741" s="745"/>
      <c r="C741" s="745"/>
      <c r="D741" s="745"/>
      <c r="E741" s="745"/>
      <c r="F741" s="745"/>
      <c r="G741" s="745"/>
      <c r="H741" s="745"/>
      <c r="I741" s="745"/>
    </row>
    <row r="742" spans="1:9" ht="15" customHeight="1">
      <c r="A742" s="745"/>
      <c r="B742" s="745"/>
      <c r="C742" s="745"/>
      <c r="D742" s="745"/>
      <c r="E742" s="745"/>
      <c r="F742" s="745"/>
      <c r="G742" s="745"/>
      <c r="H742" s="745"/>
      <c r="I742" s="745"/>
    </row>
    <row r="743" spans="1:9" ht="15" customHeight="1">
      <c r="A743" s="775" t="s">
        <v>293</v>
      </c>
      <c r="B743" s="775"/>
      <c r="C743" s="775"/>
      <c r="D743" s="775"/>
      <c r="E743" s="775"/>
      <c r="F743" s="775"/>
      <c r="G743" s="775"/>
      <c r="H743" s="775"/>
      <c r="I743" s="775"/>
    </row>
    <row r="744" spans="1:9" ht="15" customHeight="1">
      <c r="A744" s="775"/>
      <c r="B744" s="775"/>
      <c r="C744" s="775"/>
      <c r="D744" s="775"/>
      <c r="E744" s="775"/>
      <c r="F744" s="775"/>
      <c r="G744" s="775"/>
      <c r="H744" s="775"/>
      <c r="I744" s="775"/>
    </row>
    <row r="745" spans="1:9" ht="15" customHeight="1">
      <c r="A745" s="775"/>
      <c r="B745" s="775"/>
      <c r="C745" s="775"/>
      <c r="D745" s="775"/>
      <c r="E745" s="775"/>
      <c r="F745" s="775"/>
      <c r="G745" s="775"/>
      <c r="H745" s="775"/>
      <c r="I745" s="775"/>
    </row>
    <row r="746" spans="1:9" ht="15" customHeight="1">
      <c r="A746" s="330"/>
      <c r="B746" s="330"/>
      <c r="C746" s="330"/>
      <c r="D746" s="330"/>
      <c r="E746" s="330"/>
      <c r="F746" s="330"/>
      <c r="G746" s="330"/>
      <c r="H746" s="330"/>
      <c r="I746" s="330"/>
    </row>
    <row r="747" spans="1:9" ht="15" customHeight="1">
      <c r="A747" s="776" t="s">
        <v>294</v>
      </c>
      <c r="B747" s="776"/>
      <c r="C747" s="776"/>
      <c r="D747" s="776"/>
      <c r="E747" s="776"/>
      <c r="F747" s="776"/>
      <c r="G747" s="776"/>
      <c r="H747" s="776"/>
      <c r="I747" s="776"/>
    </row>
    <row r="748" spans="1:9" ht="15" customHeight="1">
      <c r="A748" s="776"/>
      <c r="B748" s="776"/>
      <c r="C748" s="776"/>
      <c r="D748" s="776"/>
      <c r="E748" s="776"/>
      <c r="F748" s="776"/>
      <c r="G748" s="776"/>
      <c r="H748" s="776"/>
      <c r="I748" s="776"/>
    </row>
    <row r="749" spans="1:9" ht="15" customHeight="1">
      <c r="A749" s="167" t="s">
        <v>375</v>
      </c>
      <c r="B749" s="167"/>
      <c r="C749" s="167"/>
      <c r="D749" s="167"/>
      <c r="E749" s="167"/>
      <c r="F749" s="167"/>
      <c r="G749" s="168"/>
      <c r="H749" s="345">
        <f>24*30*0.5</f>
        <v>360</v>
      </c>
      <c r="I749" s="344"/>
    </row>
    <row r="750" spans="1:9" ht="15" customHeight="1">
      <c r="A750" s="167"/>
      <c r="B750" s="167"/>
      <c r="C750" s="167"/>
      <c r="D750" s="167"/>
      <c r="E750" s="167"/>
      <c r="F750" s="167"/>
      <c r="G750" s="168"/>
      <c r="H750" s="167"/>
      <c r="I750" s="168"/>
    </row>
    <row r="751" spans="1:9" ht="15" customHeight="1">
      <c r="A751" s="19" t="s">
        <v>278</v>
      </c>
      <c r="B751" s="19"/>
      <c r="C751" s="19"/>
      <c r="D751" s="167"/>
      <c r="E751" s="167"/>
      <c r="F751" s="167"/>
      <c r="G751" s="168"/>
      <c r="H751" s="167"/>
      <c r="I751" s="168"/>
    </row>
    <row r="752" spans="1:9" ht="15" customHeight="1">
      <c r="A752" s="745" t="s">
        <v>303</v>
      </c>
      <c r="B752" s="745"/>
      <c r="C752" s="745"/>
      <c r="D752" s="745"/>
      <c r="E752" s="745"/>
      <c r="F752" s="745"/>
      <c r="G752" s="745"/>
      <c r="H752" s="745"/>
      <c r="I752" s="745"/>
    </row>
    <row r="753" spans="1:9" ht="15" customHeight="1">
      <c r="A753" s="745"/>
      <c r="B753" s="745"/>
      <c r="C753" s="745"/>
      <c r="D753" s="745"/>
      <c r="E753" s="745"/>
      <c r="F753" s="745"/>
      <c r="G753" s="745"/>
      <c r="H753" s="745"/>
      <c r="I753" s="745"/>
    </row>
    <row r="754" spans="1:9" ht="15" customHeight="1">
      <c r="A754" s="745"/>
      <c r="B754" s="745"/>
      <c r="C754" s="745"/>
      <c r="D754" s="745"/>
      <c r="E754" s="745"/>
      <c r="F754" s="745"/>
      <c r="G754" s="745"/>
      <c r="H754" s="745"/>
      <c r="I754" s="745"/>
    </row>
    <row r="755" spans="1:9" ht="15" customHeight="1">
      <c r="A755" s="745"/>
      <c r="B755" s="745"/>
      <c r="C755" s="745"/>
      <c r="D755" s="745"/>
      <c r="E755" s="745"/>
      <c r="F755" s="745"/>
      <c r="G755" s="745"/>
      <c r="H755" s="745"/>
      <c r="I755" s="745"/>
    </row>
    <row r="756" spans="1:9" ht="15" customHeight="1">
      <c r="A756" s="346">
        <v>40</v>
      </c>
      <c r="B756" s="167" t="s">
        <v>279</v>
      </c>
      <c r="C756" s="246"/>
      <c r="D756" s="246"/>
      <c r="E756" s="246"/>
      <c r="G756" s="331"/>
      <c r="I756" s="246"/>
    </row>
    <row r="757" spans="1:9" ht="15" customHeight="1">
      <c r="D757" s="167"/>
      <c r="E757" s="167"/>
      <c r="F757" s="167"/>
      <c r="G757" s="168"/>
      <c r="H757" s="167"/>
      <c r="I757" s="168"/>
    </row>
    <row r="758" spans="1:9" ht="15" customHeight="1">
      <c r="A758" s="19" t="s">
        <v>280</v>
      </c>
      <c r="B758" s="19"/>
      <c r="C758" s="167"/>
      <c r="D758" s="167"/>
      <c r="E758" s="167"/>
      <c r="F758" s="167"/>
      <c r="G758" s="168"/>
      <c r="H758" s="167"/>
      <c r="I758" s="168"/>
    </row>
    <row r="759" spans="1:9" ht="15" customHeight="1">
      <c r="A759" s="167" t="s">
        <v>369</v>
      </c>
      <c r="B759" s="167"/>
      <c r="C759" s="167"/>
      <c r="D759" s="167"/>
      <c r="E759" s="167"/>
      <c r="F759" s="167"/>
      <c r="G759" s="168"/>
      <c r="H759" s="167"/>
      <c r="I759" s="168"/>
    </row>
    <row r="760" spans="1:9" ht="15" customHeight="1">
      <c r="A760" s="19"/>
      <c r="B760" s="19"/>
      <c r="C760" s="19"/>
      <c r="D760" s="19"/>
      <c r="E760" s="19"/>
      <c r="F760" s="167"/>
      <c r="G760" s="168"/>
      <c r="H760" s="167"/>
      <c r="I760" s="168"/>
    </row>
    <row r="761" spans="1:9" ht="15" customHeight="1">
      <c r="A761" s="167" t="s">
        <v>281</v>
      </c>
      <c r="B761" s="167"/>
      <c r="C761" s="167"/>
      <c r="D761" s="167"/>
      <c r="E761" s="167"/>
      <c r="F761" s="167"/>
      <c r="G761" s="168"/>
      <c r="H761" s="167"/>
      <c r="I761" s="168"/>
    </row>
    <row r="762" spans="1:9" ht="15" customHeight="1">
      <c r="A762" s="167" t="s">
        <v>282</v>
      </c>
      <c r="B762" s="167"/>
      <c r="C762" s="167"/>
      <c r="D762" s="167"/>
      <c r="E762" s="167"/>
      <c r="F762" s="167"/>
      <c r="G762" s="168"/>
      <c r="H762" s="167"/>
      <c r="I762" s="168"/>
    </row>
    <row r="763" spans="1:9" ht="15" customHeight="1">
      <c r="A763" s="167" t="s">
        <v>283</v>
      </c>
      <c r="B763" s="167"/>
      <c r="D763" s="168" t="s">
        <v>284</v>
      </c>
      <c r="E763" s="332">
        <v>3</v>
      </c>
      <c r="G763" s="168"/>
      <c r="H763" s="167"/>
      <c r="I763" s="168"/>
    </row>
    <row r="764" spans="1:9" ht="15" customHeight="1">
      <c r="A764" s="167" t="s">
        <v>296</v>
      </c>
      <c r="B764" s="167"/>
      <c r="D764" s="168" t="s">
        <v>284</v>
      </c>
      <c r="E764" s="333">
        <v>0.85</v>
      </c>
      <c r="G764" s="168"/>
      <c r="H764" s="167"/>
      <c r="I764" s="168"/>
    </row>
    <row r="765" spans="1:9" ht="15" customHeight="1">
      <c r="A765" s="167" t="s">
        <v>297</v>
      </c>
      <c r="B765" s="167"/>
      <c r="D765" s="168" t="s">
        <v>284</v>
      </c>
      <c r="E765" s="333">
        <v>1</v>
      </c>
      <c r="G765" s="168"/>
      <c r="H765" s="167"/>
      <c r="I765" s="168"/>
    </row>
    <row r="766" spans="1:9" ht="15" customHeight="1">
      <c r="A766" s="167" t="s">
        <v>298</v>
      </c>
      <c r="D766" s="168" t="s">
        <v>284</v>
      </c>
      <c r="E766" s="333">
        <v>0.83</v>
      </c>
    </row>
    <row r="767" spans="1:9" ht="15" customHeight="1">
      <c r="A767" s="167" t="s">
        <v>285</v>
      </c>
      <c r="D767" s="168" t="s">
        <v>284</v>
      </c>
      <c r="E767" s="150">
        <f>60/A756</f>
        <v>1.5</v>
      </c>
    </row>
    <row r="768" spans="1:9" ht="15" customHeight="1">
      <c r="A768" s="167" t="s">
        <v>286</v>
      </c>
    </row>
    <row r="769" spans="1:9" ht="15" customHeight="1">
      <c r="A769" s="220" t="s">
        <v>287</v>
      </c>
      <c r="B769" s="151">
        <f>ROUNDDOWN(60*E763*E764*E765*E766/E767,0)</f>
        <v>84</v>
      </c>
    </row>
    <row r="770" spans="1:9" ht="15" customHeight="1"/>
    <row r="771" spans="1:9" ht="15" customHeight="1">
      <c r="A771" s="33" t="s">
        <v>288</v>
      </c>
      <c r="B771" s="34"/>
      <c r="C771" s="34"/>
      <c r="D771" s="34"/>
      <c r="E771" s="93"/>
      <c r="F771" s="93"/>
      <c r="G771" s="94"/>
      <c r="H771" s="93"/>
      <c r="I771" s="152"/>
    </row>
    <row r="772" spans="1:9" ht="15" customHeight="1">
      <c r="A772" s="165"/>
      <c r="B772" s="182"/>
      <c r="C772" s="182"/>
      <c r="D772" s="182"/>
      <c r="E772" s="182"/>
      <c r="F772" s="182"/>
      <c r="G772" s="214"/>
      <c r="H772" s="182"/>
      <c r="I772" s="183"/>
    </row>
    <row r="773" spans="1:9" ht="15" customHeight="1">
      <c r="A773" s="334" t="s">
        <v>289</v>
      </c>
      <c r="B773" s="790">
        <f>H749</f>
        <v>360</v>
      </c>
      <c r="C773" s="790"/>
      <c r="D773" s="794">
        <f>B769</f>
        <v>84</v>
      </c>
      <c r="E773" s="794"/>
      <c r="F773" s="203"/>
      <c r="G773" s="204"/>
      <c r="H773" s="153">
        <f>B773*D773</f>
        <v>30240</v>
      </c>
      <c r="I773" s="260" t="s">
        <v>18</v>
      </c>
    </row>
    <row r="774" spans="1:9" ht="15" customHeight="1"/>
    <row r="775" spans="1:9" ht="15" customHeight="1"/>
    <row r="776" spans="1:9" ht="15" customHeight="1"/>
    <row r="777" spans="1:9" ht="15" customHeight="1"/>
    <row r="778" spans="1:9" ht="15" customHeight="1">
      <c r="A778" s="182"/>
      <c r="B778" s="182"/>
      <c r="C778" s="182"/>
      <c r="D778" s="182"/>
      <c r="E778" s="182"/>
      <c r="F778" s="182"/>
      <c r="G778" s="225"/>
      <c r="H778" s="241"/>
      <c r="I778" s="225"/>
    </row>
    <row r="779" spans="1:9" ht="15" customHeight="1">
      <c r="A779" s="182"/>
      <c r="B779" s="182"/>
      <c r="C779" s="182"/>
      <c r="D779" s="182"/>
      <c r="E779" s="182"/>
      <c r="F779" s="182"/>
      <c r="G779" s="225"/>
      <c r="H779" s="241"/>
      <c r="I779" s="225"/>
    </row>
    <row r="780" spans="1:9" ht="15" customHeight="1">
      <c r="A780" s="182"/>
      <c r="B780" s="182"/>
      <c r="C780" s="182"/>
      <c r="D780" s="182"/>
      <c r="E780" s="182"/>
      <c r="F780" s="182"/>
      <c r="G780" s="225"/>
      <c r="H780" s="241"/>
      <c r="I780" s="225"/>
    </row>
    <row r="781" spans="1:9" ht="15" customHeight="1"/>
    <row r="782" spans="1:9" ht="15" customHeight="1"/>
    <row r="783" spans="1:9" ht="15" customHeight="1"/>
    <row r="784" spans="1:9" ht="15" customHeight="1">
      <c r="A784" s="101"/>
      <c r="B784" s="85"/>
      <c r="C784" s="85"/>
      <c r="D784" s="85"/>
      <c r="E784" s="85"/>
      <c r="F784" s="85"/>
      <c r="G784" s="85"/>
      <c r="H784" s="102"/>
      <c r="I784" s="102"/>
    </row>
    <row r="785" spans="1:9" ht="15" customHeight="1">
      <c r="A785" s="93"/>
      <c r="B785" s="93"/>
      <c r="C785" s="93"/>
      <c r="D785" s="93"/>
      <c r="E785" s="93"/>
      <c r="F785" s="93"/>
      <c r="G785" s="94"/>
      <c r="H785" s="93"/>
      <c r="I785" s="94"/>
    </row>
    <row r="786" spans="1:9" ht="15" customHeight="1">
      <c r="A786" s="718" t="s">
        <v>377</v>
      </c>
      <c r="B786" s="718"/>
      <c r="C786" s="718"/>
      <c r="D786" s="718"/>
      <c r="E786" s="718"/>
      <c r="F786" s="718"/>
      <c r="G786" s="718"/>
      <c r="H786" s="718"/>
      <c r="I786" s="718"/>
    </row>
    <row r="787" spans="1:9" ht="15" customHeight="1">
      <c r="A787" s="167"/>
      <c r="B787" s="167"/>
      <c r="C787" s="167"/>
      <c r="D787" s="167"/>
      <c r="E787" s="167"/>
      <c r="F787" s="167"/>
      <c r="G787" s="168"/>
      <c r="H787" s="167"/>
      <c r="I787" s="168"/>
    </row>
    <row r="788" spans="1:9" ht="15" customHeight="1">
      <c r="A788" s="167" t="s">
        <v>112</v>
      </c>
      <c r="B788" s="167"/>
      <c r="C788" s="167"/>
      <c r="D788" s="167"/>
      <c r="E788" s="167"/>
      <c r="F788" s="167"/>
      <c r="G788" s="167"/>
      <c r="H788" s="167"/>
      <c r="I788" s="168"/>
    </row>
    <row r="789" spans="1:9" ht="15" customHeight="1">
      <c r="A789" s="167" t="s">
        <v>161</v>
      </c>
      <c r="B789" s="167"/>
      <c r="C789" s="167"/>
      <c r="D789" s="167"/>
      <c r="E789" s="167"/>
      <c r="F789" s="167"/>
      <c r="G789" s="167"/>
      <c r="H789" s="167"/>
      <c r="I789" s="168"/>
    </row>
    <row r="790" spans="1:9" ht="15" customHeight="1">
      <c r="A790" s="167"/>
      <c r="B790" s="167"/>
      <c r="C790" s="167"/>
      <c r="D790" s="167"/>
      <c r="E790" s="167"/>
      <c r="F790" s="167"/>
      <c r="G790" s="168"/>
      <c r="H790" s="167"/>
      <c r="I790" s="168"/>
    </row>
    <row r="791" spans="1:9" ht="15" customHeight="1">
      <c r="A791" s="167"/>
      <c r="B791" s="167"/>
      <c r="C791" s="167"/>
      <c r="D791" s="167"/>
      <c r="E791" s="167"/>
      <c r="F791" s="167"/>
      <c r="G791" s="168"/>
      <c r="H791" s="167"/>
      <c r="I791" s="168"/>
    </row>
    <row r="792" spans="1:9" ht="15" customHeight="1">
      <c r="A792" s="167"/>
      <c r="B792" s="167"/>
      <c r="C792" s="167"/>
      <c r="D792" s="167"/>
      <c r="E792" s="167"/>
      <c r="F792" s="167"/>
      <c r="G792" s="168"/>
      <c r="H792" s="167"/>
      <c r="I792" s="168"/>
    </row>
    <row r="793" spans="1:9" ht="15" customHeight="1">
      <c r="A793" s="167"/>
      <c r="B793" s="167"/>
      <c r="C793" s="167"/>
      <c r="D793" s="167"/>
      <c r="E793" s="167"/>
      <c r="F793" s="167"/>
      <c r="G793" s="168"/>
      <c r="H793" s="167"/>
      <c r="I793" s="168"/>
    </row>
    <row r="794" spans="1:9" ht="15" customHeight="1">
      <c r="A794" s="167"/>
      <c r="B794" s="167"/>
      <c r="C794" s="167"/>
      <c r="D794" s="167"/>
      <c r="E794" s="167"/>
      <c r="F794" s="167"/>
      <c r="G794" s="168"/>
      <c r="H794" s="167"/>
      <c r="I794" s="168"/>
    </row>
    <row r="795" spans="1:9" ht="15" customHeight="1">
      <c r="A795" s="167"/>
      <c r="B795" s="167"/>
      <c r="C795" s="167"/>
      <c r="D795" s="167"/>
      <c r="E795" s="167"/>
      <c r="F795" s="167"/>
      <c r="G795" s="168"/>
      <c r="H795" s="167"/>
      <c r="I795" s="168"/>
    </row>
    <row r="796" spans="1:9" ht="15" customHeight="1">
      <c r="A796" s="167"/>
      <c r="B796" s="167"/>
      <c r="C796" s="167"/>
      <c r="D796" s="167"/>
      <c r="E796" s="167"/>
      <c r="F796" s="167"/>
      <c r="G796" s="168"/>
      <c r="H796" s="167"/>
      <c r="I796" s="168"/>
    </row>
    <row r="797" spans="1:9" ht="15" customHeight="1">
      <c r="A797" s="167"/>
      <c r="B797" s="167"/>
      <c r="C797" s="167"/>
      <c r="D797" s="167"/>
      <c r="E797" s="167"/>
      <c r="F797" s="167"/>
      <c r="G797" s="168"/>
      <c r="H797" s="167"/>
      <c r="I797" s="168"/>
    </row>
    <row r="798" spans="1:9" ht="15" customHeight="1">
      <c r="A798" s="167"/>
      <c r="B798" s="167"/>
      <c r="C798" s="167"/>
      <c r="D798" s="167"/>
      <c r="E798" s="167"/>
      <c r="F798" s="167"/>
      <c r="G798" s="168"/>
      <c r="H798" s="167"/>
      <c r="I798" s="168"/>
    </row>
    <row r="799" spans="1:9" ht="15" customHeight="1">
      <c r="A799" s="167"/>
      <c r="B799" s="167"/>
      <c r="C799" s="167"/>
      <c r="D799" s="167"/>
      <c r="E799" s="167"/>
      <c r="F799" s="167"/>
      <c r="G799" s="168"/>
      <c r="H799" s="167"/>
      <c r="I799" s="168"/>
    </row>
    <row r="800" spans="1:9" ht="15" customHeight="1">
      <c r="A800" s="167"/>
      <c r="B800" s="167"/>
      <c r="C800" s="167"/>
      <c r="D800" s="167"/>
      <c r="E800" s="167"/>
      <c r="F800" s="167"/>
      <c r="G800" s="168"/>
      <c r="H800" s="167"/>
      <c r="I800" s="168"/>
    </row>
    <row r="801" spans="1:9" ht="15" customHeight="1">
      <c r="A801" s="167"/>
      <c r="B801" s="167"/>
      <c r="C801" s="167"/>
      <c r="D801" s="167"/>
      <c r="E801" s="167"/>
      <c r="F801" s="167"/>
      <c r="G801" s="168"/>
      <c r="H801" s="167"/>
      <c r="I801" s="168"/>
    </row>
    <row r="802" spans="1:9" ht="15" customHeight="1">
      <c r="A802" s="167"/>
      <c r="B802" s="167"/>
      <c r="C802" s="167"/>
      <c r="D802" s="167"/>
      <c r="E802" s="167"/>
      <c r="F802" s="167"/>
      <c r="G802" s="168"/>
      <c r="H802" s="167"/>
      <c r="I802" s="168"/>
    </row>
    <row r="803" spans="1:9" ht="15" customHeight="1">
      <c r="A803" s="167"/>
      <c r="B803" s="167"/>
      <c r="C803" s="167"/>
      <c r="D803" s="167"/>
      <c r="E803" s="167"/>
      <c r="F803" s="167"/>
      <c r="G803" s="168"/>
      <c r="H803" s="167"/>
      <c r="I803" s="168"/>
    </row>
    <row r="804" spans="1:9" ht="15" customHeight="1">
      <c r="A804" s="167"/>
      <c r="B804" s="167"/>
      <c r="C804" s="167"/>
      <c r="D804" s="167"/>
      <c r="E804" s="167"/>
      <c r="F804" s="167"/>
      <c r="G804" s="168"/>
      <c r="H804" s="167"/>
      <c r="I804" s="168"/>
    </row>
    <row r="805" spans="1:9" ht="15" customHeight="1">
      <c r="A805" s="167"/>
      <c r="B805" s="167"/>
      <c r="C805" s="167"/>
      <c r="D805" s="167"/>
      <c r="E805" s="167"/>
      <c r="F805" s="167"/>
      <c r="G805" s="168"/>
      <c r="H805" s="167"/>
      <c r="I805" s="168"/>
    </row>
    <row r="806" spans="1:9" ht="15" customHeight="1">
      <c r="A806" s="167"/>
      <c r="B806" s="167"/>
      <c r="C806" s="167"/>
      <c r="D806" s="167"/>
      <c r="E806" s="167"/>
      <c r="F806" s="167"/>
      <c r="G806" s="168"/>
      <c r="H806" s="167"/>
      <c r="I806" s="168"/>
    </row>
    <row r="807" spans="1:9" ht="15" customHeight="1">
      <c r="A807" s="167"/>
      <c r="B807" s="167"/>
      <c r="C807" s="167"/>
      <c r="D807" s="167"/>
      <c r="E807" s="167"/>
      <c r="F807" s="167"/>
      <c r="G807" s="168"/>
      <c r="H807" s="167"/>
      <c r="I807" s="168"/>
    </row>
    <row r="808" spans="1:9" ht="15" customHeight="1">
      <c r="A808" s="167"/>
      <c r="B808" s="167"/>
      <c r="C808" s="167"/>
      <c r="D808" s="167"/>
      <c r="E808" s="167"/>
      <c r="F808" s="167"/>
      <c r="G808" s="168"/>
      <c r="H808" s="167"/>
      <c r="I808" s="168"/>
    </row>
    <row r="809" spans="1:9" ht="15" customHeight="1">
      <c r="A809" s="167"/>
      <c r="B809" s="167"/>
      <c r="C809" s="167"/>
      <c r="D809" s="167"/>
      <c r="E809" s="167"/>
      <c r="F809" s="167"/>
      <c r="G809" s="168"/>
      <c r="H809" s="167"/>
      <c r="I809" s="168"/>
    </row>
    <row r="810" spans="1:9" ht="15" customHeight="1">
      <c r="A810" s="167"/>
      <c r="B810" s="167"/>
      <c r="C810" s="167"/>
      <c r="D810" s="167"/>
      <c r="E810" s="167"/>
      <c r="F810" s="167"/>
      <c r="G810" s="168"/>
      <c r="H810" s="167"/>
      <c r="I810" s="168"/>
    </row>
    <row r="811" spans="1:9" ht="15" customHeight="1">
      <c r="A811" s="167" t="s">
        <v>78</v>
      </c>
      <c r="B811" s="167"/>
      <c r="C811" s="167"/>
      <c r="D811" s="167"/>
      <c r="E811" s="167"/>
      <c r="F811" s="167"/>
      <c r="G811" s="168"/>
      <c r="H811" s="167"/>
      <c r="I811" s="168"/>
    </row>
    <row r="812" spans="1:9" ht="15" customHeight="1">
      <c r="A812" s="164" t="s">
        <v>35</v>
      </c>
      <c r="B812" s="178"/>
      <c r="C812" s="178"/>
      <c r="D812" s="178"/>
      <c r="E812" s="178"/>
      <c r="F812" s="178"/>
      <c r="G812" s="179"/>
      <c r="H812" s="206">
        <f>H663</f>
        <v>240</v>
      </c>
      <c r="I812" s="181" t="s">
        <v>37</v>
      </c>
    </row>
    <row r="813" spans="1:9" ht="15" customHeight="1">
      <c r="A813" s="165" t="s">
        <v>79</v>
      </c>
      <c r="B813" s="182"/>
      <c r="C813" s="182" t="s">
        <v>80</v>
      </c>
      <c r="D813" s="182"/>
      <c r="E813" s="182"/>
      <c r="F813" s="182"/>
      <c r="G813" s="183"/>
      <c r="H813" s="207">
        <f>H812*1.3415</f>
        <v>321.95999999999998</v>
      </c>
      <c r="I813" s="185" t="s">
        <v>81</v>
      </c>
    </row>
    <row r="814" spans="1:9" ht="15" customHeight="1">
      <c r="A814" s="165"/>
      <c r="B814" s="182"/>
      <c r="C814" s="182"/>
      <c r="D814" s="182"/>
      <c r="E814" s="182"/>
      <c r="F814" s="182"/>
      <c r="G814" s="183"/>
      <c r="H814" s="184"/>
      <c r="I814" s="185"/>
    </row>
    <row r="815" spans="1:9" ht="15" customHeight="1">
      <c r="A815" s="165" t="s">
        <v>83</v>
      </c>
      <c r="B815" s="182"/>
      <c r="C815" s="182"/>
      <c r="D815" s="182"/>
      <c r="E815" s="182"/>
      <c r="F815" s="182"/>
      <c r="G815" s="183"/>
      <c r="H815" s="208">
        <f>H813*0.182*(4+10.5+0.6)</f>
        <v>884.81047199999989</v>
      </c>
      <c r="I815" s="185" t="s">
        <v>82</v>
      </c>
    </row>
    <row r="816" spans="1:9" ht="15" customHeight="1">
      <c r="A816" s="165"/>
      <c r="B816" s="182"/>
      <c r="C816" s="182"/>
      <c r="D816" s="182"/>
      <c r="E816" s="182"/>
      <c r="F816" s="182"/>
      <c r="G816" s="183"/>
      <c r="H816" s="184"/>
      <c r="I816" s="185"/>
    </row>
    <row r="817" spans="1:9" ht="15" customHeight="1">
      <c r="A817" s="165" t="s">
        <v>84</v>
      </c>
      <c r="B817" s="182"/>
      <c r="C817" s="182"/>
      <c r="D817" s="182"/>
      <c r="E817" s="182"/>
      <c r="F817" s="182"/>
      <c r="G817" s="183"/>
      <c r="H817" s="207">
        <f>H815*30</f>
        <v>26544.314159999998</v>
      </c>
      <c r="I817" s="185" t="s">
        <v>85</v>
      </c>
    </row>
    <row r="818" spans="1:9" ht="15" customHeight="1">
      <c r="A818" s="165"/>
      <c r="B818" s="182"/>
      <c r="C818" s="182"/>
      <c r="D818" s="182"/>
      <c r="E818" s="182"/>
      <c r="F818" s="182"/>
      <c r="G818" s="183"/>
      <c r="H818" s="184"/>
      <c r="I818" s="185"/>
    </row>
    <row r="819" spans="1:9" ht="15" customHeight="1">
      <c r="A819" s="165" t="s">
        <v>86</v>
      </c>
      <c r="B819" s="182"/>
      <c r="C819" s="182"/>
      <c r="D819" s="182" t="s">
        <v>178</v>
      </c>
      <c r="E819" s="182"/>
      <c r="F819" s="182"/>
      <c r="G819" s="183"/>
      <c r="H819" s="209">
        <f>H667</f>
        <v>2.56</v>
      </c>
      <c r="I819" s="185" t="s">
        <v>171</v>
      </c>
    </row>
    <row r="820" spans="1:9" ht="15" customHeight="1">
      <c r="A820" s="165"/>
      <c r="B820" s="182"/>
      <c r="C820" s="182"/>
      <c r="D820" s="182"/>
      <c r="E820" s="182"/>
      <c r="F820" s="182"/>
      <c r="G820" s="183"/>
      <c r="H820" s="207"/>
      <c r="I820" s="185"/>
    </row>
    <row r="821" spans="1:9" ht="15" customHeight="1">
      <c r="A821" s="166" t="s">
        <v>87</v>
      </c>
      <c r="B821" s="192"/>
      <c r="C821" s="192"/>
      <c r="D821" s="192"/>
      <c r="E821" s="192"/>
      <c r="F821" s="192"/>
      <c r="G821" s="193"/>
      <c r="H821" s="30">
        <f>H817*H819</f>
        <v>67953.444249599997</v>
      </c>
      <c r="I821" s="31" t="s">
        <v>26</v>
      </c>
    </row>
    <row r="822" spans="1:9" ht="15" customHeight="1">
      <c r="A822" s="167"/>
      <c r="B822" s="167"/>
      <c r="C822" s="167"/>
      <c r="D822" s="167"/>
      <c r="E822" s="167"/>
      <c r="F822" s="167"/>
      <c r="G822" s="168"/>
      <c r="H822" s="167"/>
      <c r="I822" s="168"/>
    </row>
    <row r="823" spans="1:9" ht="15" customHeight="1">
      <c r="A823" s="381"/>
      <c r="B823" s="381"/>
      <c r="C823" s="381"/>
      <c r="D823" s="381"/>
      <c r="E823" s="381"/>
      <c r="F823" s="381"/>
      <c r="G823" s="421"/>
      <c r="H823" s="381"/>
      <c r="I823" s="421"/>
    </row>
    <row r="824" spans="1:9" ht="15" customHeight="1">
      <c r="A824" s="738" t="s">
        <v>213</v>
      </c>
      <c r="B824" s="738"/>
      <c r="C824" s="738"/>
      <c r="D824" s="738"/>
      <c r="E824" s="738"/>
      <c r="F824" s="738"/>
      <c r="G824" s="738"/>
      <c r="H824" s="738"/>
      <c r="I824" s="738"/>
    </row>
    <row r="825" spans="1:9" ht="15" customHeight="1">
      <c r="A825" s="313"/>
      <c r="B825" s="313"/>
      <c r="C825" s="313"/>
      <c r="D825" s="313"/>
      <c r="E825" s="313"/>
      <c r="F825" s="313"/>
      <c r="G825" s="314"/>
      <c r="H825" s="313"/>
      <c r="I825" s="314"/>
    </row>
    <row r="826" spans="1:9" ht="15" customHeight="1">
      <c r="A826" s="313" t="s">
        <v>182</v>
      </c>
      <c r="B826" s="313"/>
      <c r="C826" s="313"/>
      <c r="D826" s="313"/>
      <c r="E826" s="313"/>
      <c r="F826" s="313"/>
      <c r="G826" s="314"/>
      <c r="H826" s="313"/>
      <c r="I826" s="314"/>
    </row>
    <row r="827" spans="1:9" ht="15" customHeight="1">
      <c r="A827" s="313" t="s">
        <v>183</v>
      </c>
      <c r="B827" s="313"/>
      <c r="C827" s="313"/>
      <c r="D827" s="313"/>
      <c r="E827" s="313"/>
      <c r="F827" s="313"/>
      <c r="G827" s="314"/>
      <c r="H827" s="313"/>
      <c r="I827" s="314"/>
    </row>
    <row r="828" spans="1:9" ht="15" customHeight="1">
      <c r="A828" s="313" t="s">
        <v>184</v>
      </c>
      <c r="B828" s="313"/>
      <c r="C828" s="313"/>
      <c r="D828" s="313"/>
      <c r="E828" s="313"/>
      <c r="F828" s="313"/>
      <c r="G828" s="314"/>
      <c r="H828" s="313"/>
      <c r="I828" s="314"/>
    </row>
    <row r="829" spans="1:9" ht="15" customHeight="1">
      <c r="A829" s="313"/>
      <c r="B829" s="313"/>
      <c r="C829" s="313"/>
      <c r="D829" s="313"/>
      <c r="E829" s="313"/>
      <c r="F829" s="313"/>
      <c r="G829" s="314"/>
      <c r="H829" s="313"/>
      <c r="I829" s="314"/>
    </row>
    <row r="830" spans="1:9" ht="15" customHeight="1">
      <c r="A830" s="146" t="s">
        <v>185</v>
      </c>
      <c r="B830" s="147"/>
      <c r="C830" s="147"/>
      <c r="D830" s="147"/>
      <c r="E830" s="147"/>
      <c r="F830" s="147"/>
      <c r="G830" s="154"/>
      <c r="H830" s="148">
        <f>0.0035*630000*30/7*H861*1.05</f>
        <v>32248.125</v>
      </c>
      <c r="I830" s="256" t="s">
        <v>26</v>
      </c>
    </row>
    <row r="831" spans="1:9" ht="15" customHeight="1">
      <c r="A831" s="167"/>
      <c r="B831" s="167"/>
      <c r="C831" s="167"/>
      <c r="D831" s="167"/>
      <c r="E831" s="167"/>
      <c r="F831" s="167"/>
      <c r="G831" s="168"/>
      <c r="H831" s="167"/>
      <c r="I831" s="168"/>
    </row>
    <row r="832" spans="1:9" ht="15" customHeight="1">
      <c r="A832" s="167"/>
      <c r="B832" s="167"/>
      <c r="C832" s="167"/>
      <c r="D832" s="167"/>
      <c r="E832" s="167"/>
      <c r="F832" s="167"/>
      <c r="G832" s="168"/>
      <c r="H832" s="167"/>
      <c r="I832" s="168"/>
    </row>
    <row r="833" spans="1:9" ht="15" customHeight="1">
      <c r="A833" s="167"/>
      <c r="B833" s="167"/>
      <c r="C833" s="167"/>
      <c r="D833" s="167"/>
      <c r="E833" s="167"/>
      <c r="F833" s="167"/>
      <c r="G833" s="168"/>
      <c r="H833" s="167"/>
      <c r="I833" s="168"/>
    </row>
    <row r="834" spans="1:9" ht="15" customHeight="1">
      <c r="A834" s="101"/>
      <c r="B834" s="85"/>
      <c r="C834" s="85"/>
      <c r="D834" s="85"/>
      <c r="E834" s="85"/>
      <c r="F834" s="85"/>
      <c r="G834" s="85"/>
      <c r="H834" s="102"/>
      <c r="I834" s="102"/>
    </row>
    <row r="835" spans="1:9" ht="15" customHeight="1">
      <c r="A835" s="178"/>
      <c r="B835" s="178"/>
      <c r="C835" s="178"/>
      <c r="D835" s="178"/>
      <c r="E835" s="178"/>
      <c r="F835" s="178"/>
      <c r="G835" s="177"/>
      <c r="H835" s="178"/>
      <c r="I835" s="177"/>
    </row>
    <row r="836" spans="1:9" ht="15" customHeight="1">
      <c r="A836" s="738" t="s">
        <v>376</v>
      </c>
      <c r="B836" s="738"/>
      <c r="C836" s="738"/>
      <c r="D836" s="738"/>
      <c r="E836" s="738"/>
      <c r="F836" s="738"/>
      <c r="G836" s="738"/>
      <c r="H836" s="738"/>
      <c r="I836" s="738"/>
    </row>
    <row r="837" spans="1:9" ht="15" customHeight="1">
      <c r="A837" s="255"/>
      <c r="B837" s="255"/>
      <c r="C837" s="255"/>
      <c r="D837" s="255"/>
      <c r="E837" s="255"/>
      <c r="F837" s="255"/>
      <c r="G837" s="255"/>
      <c r="H837" s="255"/>
      <c r="I837" s="255"/>
    </row>
    <row r="838" spans="1:9" ht="15" customHeight="1">
      <c r="A838" s="47" t="s">
        <v>120</v>
      </c>
      <c r="B838" s="47"/>
      <c r="C838" s="47"/>
      <c r="D838" s="47"/>
      <c r="E838" s="255"/>
      <c r="F838" s="255"/>
      <c r="G838" s="255"/>
      <c r="H838" s="255"/>
      <c r="I838" s="255"/>
    </row>
    <row r="839" spans="1:9" ht="15" customHeight="1">
      <c r="A839" s="47"/>
      <c r="B839" s="47"/>
      <c r="C839" s="47"/>
      <c r="D839" s="47"/>
      <c r="E839" s="255"/>
      <c r="F839" s="255"/>
      <c r="G839" s="255"/>
      <c r="H839" s="255"/>
      <c r="I839" s="255"/>
    </row>
    <row r="840" spans="1:9" ht="15" customHeight="1">
      <c r="A840" s="47" t="s">
        <v>142</v>
      </c>
      <c r="B840" s="255"/>
      <c r="C840" s="255"/>
      <c r="D840" s="255"/>
      <c r="E840" s="255"/>
      <c r="F840" s="255"/>
      <c r="G840" s="255"/>
      <c r="H840" s="255"/>
      <c r="I840" s="255"/>
    </row>
    <row r="841" spans="1:9" ht="15" customHeight="1">
      <c r="A841" s="174" t="s">
        <v>144</v>
      </c>
      <c r="B841" s="47"/>
      <c r="C841" s="47"/>
      <c r="D841" s="47"/>
      <c r="E841" s="47"/>
      <c r="F841" s="47"/>
      <c r="G841" s="47"/>
      <c r="H841" s="47"/>
      <c r="I841" s="47"/>
    </row>
    <row r="842" spans="1:9" ht="15" customHeight="1">
      <c r="A842" s="174" t="s">
        <v>145</v>
      </c>
      <c r="B842" s="174"/>
      <c r="C842" s="174"/>
      <c r="D842" s="174"/>
      <c r="E842" s="174"/>
      <c r="F842" s="174"/>
      <c r="G842" s="210">
        <f>0.00025*30</f>
        <v>7.4999999999999997E-3</v>
      </c>
      <c r="H842" s="174"/>
      <c r="I842" s="174"/>
    </row>
    <row r="843" spans="1:9" ht="15" customHeight="1">
      <c r="A843" s="47" t="s">
        <v>146</v>
      </c>
      <c r="B843" s="47"/>
      <c r="C843" s="174"/>
      <c r="D843" s="174"/>
      <c r="E843" s="174"/>
      <c r="F843" s="174"/>
      <c r="G843" s="174"/>
      <c r="H843" s="174"/>
      <c r="I843" s="174"/>
    </row>
    <row r="844" spans="1:9" ht="15" customHeight="1">
      <c r="A844" s="174" t="s">
        <v>147</v>
      </c>
      <c r="B844" s="47"/>
      <c r="C844" s="47"/>
      <c r="D844" s="47"/>
      <c r="E844" s="47"/>
      <c r="F844" s="47"/>
      <c r="G844" s="47"/>
      <c r="H844" s="47"/>
      <c r="I844" s="174"/>
    </row>
    <row r="845" spans="1:9" ht="15" customHeight="1">
      <c r="A845" s="174" t="s">
        <v>145</v>
      </c>
      <c r="B845" s="174"/>
      <c r="C845" s="174"/>
      <c r="D845" s="174"/>
      <c r="E845" s="174"/>
      <c r="F845" s="174"/>
      <c r="G845" s="210">
        <f>0.00013*30</f>
        <v>3.8999999999999998E-3</v>
      </c>
      <c r="H845" s="174"/>
      <c r="I845" s="174"/>
    </row>
    <row r="846" spans="1:9" ht="15" customHeight="1">
      <c r="A846" s="47" t="s">
        <v>148</v>
      </c>
      <c r="B846" s="174"/>
      <c r="C846" s="174"/>
      <c r="D846" s="174"/>
      <c r="E846" s="174"/>
      <c r="F846" s="174"/>
      <c r="G846" s="174"/>
      <c r="H846" s="174"/>
      <c r="I846" s="174"/>
    </row>
    <row r="847" spans="1:9" ht="15" customHeight="1">
      <c r="A847" s="174" t="s">
        <v>149</v>
      </c>
      <c r="B847" s="174"/>
      <c r="C847" s="174"/>
      <c r="D847" s="174"/>
      <c r="E847" s="174"/>
      <c r="F847" s="174"/>
      <c r="G847" s="174"/>
      <c r="H847" s="174"/>
      <c r="I847" s="174"/>
    </row>
    <row r="848" spans="1:9" ht="15" customHeight="1">
      <c r="A848" s="174" t="s">
        <v>150</v>
      </c>
      <c r="B848" s="174"/>
      <c r="C848" s="174"/>
      <c r="D848" s="174"/>
      <c r="E848" s="174"/>
      <c r="F848" s="174"/>
      <c r="G848" s="211">
        <f>0.025/12</f>
        <v>2.0833333333333333E-3</v>
      </c>
      <c r="H848" s="174"/>
      <c r="I848" s="174"/>
    </row>
    <row r="849" spans="1:9" ht="15" customHeight="1">
      <c r="A849" s="47" t="s">
        <v>151</v>
      </c>
      <c r="B849" s="174"/>
      <c r="C849" s="174"/>
      <c r="D849" s="174"/>
      <c r="E849" s="174"/>
      <c r="F849" s="174"/>
      <c r="G849" s="174"/>
      <c r="H849" s="174"/>
      <c r="I849" s="174"/>
    </row>
    <row r="850" spans="1:9" ht="15" customHeight="1">
      <c r="A850" s="174" t="s">
        <v>152</v>
      </c>
      <c r="B850" s="174"/>
      <c r="C850" s="174"/>
      <c r="D850" s="174"/>
      <c r="E850" s="174"/>
      <c r="F850" s="174"/>
      <c r="G850" s="174"/>
      <c r="H850" s="174"/>
      <c r="I850" s="174"/>
    </row>
    <row r="851" spans="1:9" ht="15" customHeight="1">
      <c r="A851" s="174" t="s">
        <v>153</v>
      </c>
      <c r="B851" s="174"/>
      <c r="C851" s="174"/>
      <c r="D851" s="174"/>
      <c r="E851" s="174"/>
      <c r="F851" s="174"/>
      <c r="G851" s="174">
        <v>4.4999999999999997E-3</v>
      </c>
      <c r="H851" s="174" t="s">
        <v>154</v>
      </c>
      <c r="I851" s="174"/>
    </row>
    <row r="852" spans="1:9" ht="15" customHeight="1">
      <c r="A852" s="47" t="s">
        <v>155</v>
      </c>
      <c r="B852" s="174"/>
      <c r="C852" s="174"/>
      <c r="D852" s="174"/>
      <c r="E852" s="174"/>
      <c r="F852" s="174"/>
      <c r="G852" s="174"/>
      <c r="H852" s="174"/>
      <c r="I852" s="174"/>
    </row>
    <row r="853" spans="1:9" ht="15" customHeight="1">
      <c r="A853" s="174" t="s">
        <v>301</v>
      </c>
      <c r="B853" s="174"/>
      <c r="C853" s="174"/>
      <c r="D853" s="174"/>
      <c r="E853" s="174"/>
      <c r="F853" s="174"/>
      <c r="G853" s="174"/>
      <c r="H853" s="174"/>
      <c r="I853" s="174"/>
    </row>
    <row r="854" spans="1:9" ht="15" customHeight="1">
      <c r="A854" s="174" t="s">
        <v>302</v>
      </c>
      <c r="B854" s="174"/>
      <c r="C854" s="174"/>
      <c r="D854" s="174"/>
      <c r="E854" s="174"/>
      <c r="F854" s="174"/>
      <c r="G854" s="174"/>
      <c r="H854" s="174"/>
      <c r="I854" s="174"/>
    </row>
    <row r="855" spans="1:9" ht="15" customHeight="1">
      <c r="A855" s="47" t="s">
        <v>156</v>
      </c>
      <c r="B855" s="47"/>
      <c r="C855" s="174"/>
      <c r="D855" s="174"/>
      <c r="E855" s="174"/>
      <c r="F855" s="174"/>
      <c r="G855" s="174"/>
      <c r="H855" s="174"/>
      <c r="I855" s="174"/>
    </row>
    <row r="856" spans="1:9" ht="15" customHeight="1">
      <c r="A856" s="174" t="s">
        <v>157</v>
      </c>
      <c r="B856" s="174"/>
      <c r="C856" s="174"/>
      <c r="D856" s="174"/>
      <c r="E856" s="174"/>
      <c r="F856" s="174"/>
      <c r="G856" s="174"/>
      <c r="H856" s="174"/>
      <c r="I856" s="174"/>
    </row>
    <row r="857" spans="1:9" ht="15" customHeight="1">
      <c r="A857" s="174" t="s">
        <v>158</v>
      </c>
      <c r="B857" s="174"/>
      <c r="C857" s="174"/>
      <c r="D857" s="174"/>
      <c r="E857" s="174"/>
      <c r="F857" s="174"/>
      <c r="G857" s="174"/>
      <c r="H857" s="174"/>
      <c r="I857" s="174"/>
    </row>
    <row r="858" spans="1:9" ht="15" customHeight="1"/>
    <row r="859" spans="1:9" ht="15" customHeight="1">
      <c r="A859" s="33" t="s">
        <v>295</v>
      </c>
      <c r="B859" s="34"/>
      <c r="C859" s="34"/>
      <c r="D859" s="34"/>
      <c r="E859" s="34"/>
      <c r="F859" s="34"/>
      <c r="G859" s="169"/>
      <c r="H859" s="36"/>
      <c r="I859" s="181"/>
    </row>
    <row r="860" spans="1:9" ht="15" customHeight="1">
      <c r="A860" s="165" t="s">
        <v>181</v>
      </c>
      <c r="B860" s="182"/>
      <c r="C860" s="182"/>
      <c r="D860" s="182"/>
      <c r="E860" s="182"/>
      <c r="F860" s="182"/>
      <c r="G860" s="183"/>
      <c r="H860" s="212">
        <f>H659</f>
        <v>2183600</v>
      </c>
      <c r="I860" s="185" t="s">
        <v>21</v>
      </c>
    </row>
    <row r="861" spans="1:9" ht="15" customHeight="1">
      <c r="A861" s="165" t="s">
        <v>143</v>
      </c>
      <c r="B861" s="182"/>
      <c r="C861" s="182"/>
      <c r="D861" s="182"/>
      <c r="E861" s="182"/>
      <c r="F861" s="182"/>
      <c r="G861" s="183"/>
      <c r="H861" s="209">
        <f>H655</f>
        <v>3.25</v>
      </c>
      <c r="I861" s="185" t="s">
        <v>23</v>
      </c>
    </row>
    <row r="862" spans="1:9" ht="15" customHeight="1">
      <c r="A862" s="165" t="s">
        <v>22</v>
      </c>
      <c r="B862" s="182"/>
      <c r="C862" s="182"/>
      <c r="D862" s="182"/>
      <c r="E862" s="182"/>
      <c r="F862" s="182"/>
      <c r="G862" s="183"/>
      <c r="H862" s="63">
        <f>H860*H861</f>
        <v>7096700</v>
      </c>
      <c r="I862" s="185" t="s">
        <v>23</v>
      </c>
    </row>
    <row r="863" spans="1:9" ht="15" customHeight="1">
      <c r="A863" s="165" t="s">
        <v>141</v>
      </c>
      <c r="B863" s="182"/>
      <c r="C863" s="182"/>
      <c r="D863" s="182"/>
      <c r="E863" s="182"/>
      <c r="F863" s="182"/>
      <c r="G863" s="183"/>
      <c r="H863" s="184"/>
      <c r="I863" s="185"/>
    </row>
    <row r="864" spans="1:9" ht="15" customHeight="1">
      <c r="A864" s="165"/>
      <c r="B864" s="213" t="s">
        <v>89</v>
      </c>
      <c r="C864" s="765">
        <f>G842</f>
        <v>7.4999999999999997E-3</v>
      </c>
      <c r="D864" s="765"/>
      <c r="E864" s="182"/>
      <c r="F864" s="182"/>
      <c r="G864" s="183"/>
      <c r="H864" s="215">
        <f>H862*C864</f>
        <v>53225.25</v>
      </c>
      <c r="I864" s="185" t="s">
        <v>26</v>
      </c>
    </row>
    <row r="865" spans="1:9" ht="15" customHeight="1">
      <c r="A865" s="165" t="s">
        <v>90</v>
      </c>
      <c r="B865" s="182"/>
      <c r="C865" s="182"/>
      <c r="D865" s="182"/>
      <c r="E865" s="182"/>
      <c r="F865" s="182"/>
      <c r="G865" s="183"/>
      <c r="H865" s="38"/>
      <c r="I865" s="185"/>
    </row>
    <row r="866" spans="1:9" ht="15" customHeight="1">
      <c r="A866" s="165"/>
      <c r="B866" s="213" t="s">
        <v>89</v>
      </c>
      <c r="C866" s="765">
        <f>G845</f>
        <v>3.8999999999999998E-3</v>
      </c>
      <c r="D866" s="765"/>
      <c r="E866" s="182"/>
      <c r="F866" s="182"/>
      <c r="G866" s="183"/>
      <c r="H866" s="63">
        <f>H862*C866</f>
        <v>27677.129999999997</v>
      </c>
      <c r="I866" s="185" t="s">
        <v>26</v>
      </c>
    </row>
    <row r="867" spans="1:9" ht="15" customHeight="1">
      <c r="A867" s="165" t="s">
        <v>27</v>
      </c>
      <c r="B867" s="182"/>
      <c r="C867" s="182"/>
      <c r="D867" s="182"/>
      <c r="E867" s="182"/>
      <c r="F867" s="182"/>
      <c r="G867" s="183"/>
      <c r="H867" s="184"/>
      <c r="I867" s="185"/>
    </row>
    <row r="868" spans="1:9" ht="15" customHeight="1">
      <c r="A868" s="165"/>
      <c r="B868" s="213" t="s">
        <v>89</v>
      </c>
      <c r="C868" s="765">
        <f>G848</f>
        <v>2.0833333333333333E-3</v>
      </c>
      <c r="D868" s="765"/>
      <c r="E868" s="182"/>
      <c r="F868" s="182"/>
      <c r="G868" s="183"/>
      <c r="H868" s="63">
        <f>H862*C868</f>
        <v>14784.791666666666</v>
      </c>
      <c r="I868" s="185" t="s">
        <v>26</v>
      </c>
    </row>
    <row r="869" spans="1:9" ht="15" customHeight="1">
      <c r="A869" s="165" t="s">
        <v>91</v>
      </c>
      <c r="B869" s="182"/>
      <c r="C869" s="182"/>
      <c r="D869" s="182"/>
      <c r="E869" s="182"/>
      <c r="F869" s="182"/>
      <c r="G869" s="183"/>
      <c r="H869" s="38"/>
      <c r="I869" s="39"/>
    </row>
    <row r="870" spans="1:9" ht="15" customHeight="1">
      <c r="A870" s="165"/>
      <c r="B870" s="213" t="s">
        <v>89</v>
      </c>
      <c r="C870" s="764">
        <f>G851</f>
        <v>4.4999999999999997E-3</v>
      </c>
      <c r="D870" s="764"/>
      <c r="E870" s="182"/>
      <c r="F870" s="182"/>
      <c r="G870" s="183"/>
      <c r="H870" s="63">
        <f>C870*H862</f>
        <v>31935.149999999998</v>
      </c>
      <c r="I870" s="185" t="s">
        <v>26</v>
      </c>
    </row>
    <row r="871" spans="1:9" ht="15" customHeight="1">
      <c r="A871" s="165" t="s">
        <v>28</v>
      </c>
      <c r="B871" s="182"/>
      <c r="C871" s="182"/>
      <c r="D871" s="182"/>
      <c r="E871" s="182"/>
      <c r="F871" s="182"/>
      <c r="G871" s="183"/>
      <c r="H871" s="38"/>
      <c r="I871" s="185"/>
    </row>
    <row r="872" spans="1:9" ht="15" customHeight="1">
      <c r="A872" s="216" t="s">
        <v>113</v>
      </c>
      <c r="B872" s="217">
        <v>20</v>
      </c>
      <c r="C872" s="182"/>
      <c r="D872" s="182"/>
      <c r="E872" s="182"/>
      <c r="F872" s="214"/>
      <c r="G872" s="35"/>
      <c r="H872" s="63">
        <f>H862/(12*B872)</f>
        <v>29569.583333333332</v>
      </c>
      <c r="I872" s="185" t="s">
        <v>26</v>
      </c>
    </row>
    <row r="873" spans="1:9" ht="15" customHeight="1">
      <c r="A873" s="165" t="s">
        <v>92</v>
      </c>
      <c r="B873" s="182"/>
      <c r="C873" s="182"/>
      <c r="D873" s="182"/>
      <c r="E873" s="182"/>
      <c r="F873" s="182"/>
      <c r="G873" s="183"/>
      <c r="H873" s="63">
        <f>H821</f>
        <v>67953.444249599997</v>
      </c>
      <c r="I873" s="185" t="s">
        <v>26</v>
      </c>
    </row>
    <row r="874" spans="1:9" ht="15" customHeight="1">
      <c r="A874" s="165" t="s">
        <v>96</v>
      </c>
      <c r="B874" s="182"/>
      <c r="C874" s="182"/>
      <c r="D874" s="182"/>
      <c r="E874" s="182"/>
      <c r="F874" s="182"/>
      <c r="G874" s="183"/>
      <c r="H874" s="207"/>
      <c r="I874" s="185"/>
    </row>
    <row r="875" spans="1:9" ht="15" customHeight="1">
      <c r="A875" s="216" t="s">
        <v>272</v>
      </c>
      <c r="B875" s="218">
        <v>0.1</v>
      </c>
      <c r="C875" s="182" t="s">
        <v>273</v>
      </c>
      <c r="D875" s="182"/>
      <c r="E875" s="182"/>
      <c r="F875" s="214"/>
      <c r="G875" s="183"/>
      <c r="H875" s="215">
        <f>H873*B875</f>
        <v>6795.3444249599997</v>
      </c>
      <c r="I875" s="185" t="s">
        <v>26</v>
      </c>
    </row>
    <row r="876" spans="1:9" ht="15" customHeight="1">
      <c r="A876" s="165" t="s">
        <v>41</v>
      </c>
      <c r="B876" s="182"/>
      <c r="C876" s="182"/>
      <c r="D876" s="182"/>
      <c r="E876" s="182"/>
      <c r="F876" s="182"/>
      <c r="G876" s="183"/>
      <c r="H876" s="233">
        <f>H713</f>
        <v>140094.0724</v>
      </c>
      <c r="I876" s="185" t="s">
        <v>26</v>
      </c>
    </row>
    <row r="877" spans="1:9" ht="15" customHeight="1">
      <c r="A877" s="165"/>
      <c r="B877" s="182"/>
      <c r="C877" s="182"/>
      <c r="D877" s="182"/>
      <c r="E877" s="182"/>
      <c r="F877" s="182"/>
      <c r="G877" s="183"/>
      <c r="H877" s="184"/>
      <c r="I877" s="185"/>
    </row>
    <row r="878" spans="1:9" ht="15" customHeight="1">
      <c r="A878" s="4" t="s">
        <v>93</v>
      </c>
      <c r="B878" s="5"/>
      <c r="C878" s="5"/>
      <c r="D878" s="5"/>
      <c r="E878" s="5"/>
      <c r="F878" s="5"/>
      <c r="G878" s="6"/>
      <c r="H878" s="43">
        <f>SUM(H864,H866,H868,H870,H872,H873,H875,H876)</f>
        <v>372034.76607456</v>
      </c>
      <c r="I878" s="32" t="s">
        <v>26</v>
      </c>
    </row>
    <row r="879" spans="1:9" ht="15" customHeight="1">
      <c r="A879" s="166"/>
      <c r="B879" s="192"/>
      <c r="C879" s="192"/>
      <c r="D879" s="192"/>
      <c r="E879" s="192"/>
      <c r="F879" s="192"/>
      <c r="G879" s="193"/>
      <c r="H879" s="219"/>
      <c r="I879" s="195"/>
    </row>
    <row r="880" spans="1:9" ht="15" customHeight="1">
      <c r="A880" s="182"/>
      <c r="B880" s="182"/>
      <c r="C880" s="182"/>
      <c r="D880" s="182"/>
      <c r="E880" s="182"/>
      <c r="F880" s="182"/>
      <c r="G880" s="214"/>
      <c r="H880" s="234"/>
      <c r="I880" s="214"/>
    </row>
    <row r="881" spans="1:9" ht="15" customHeight="1">
      <c r="A881" s="182"/>
      <c r="B881" s="182"/>
      <c r="C881" s="182"/>
      <c r="D881" s="182"/>
      <c r="E881" s="182"/>
      <c r="F881" s="182"/>
      <c r="G881" s="214"/>
      <c r="H881" s="234"/>
      <c r="I881" s="214"/>
    </row>
    <row r="882" spans="1:9" ht="15" customHeight="1">
      <c r="A882" s="182"/>
      <c r="B882" s="182"/>
      <c r="C882" s="182"/>
      <c r="D882" s="182"/>
      <c r="E882" s="182"/>
      <c r="F882" s="182"/>
      <c r="G882" s="214"/>
      <c r="H882" s="234"/>
      <c r="I882" s="214"/>
    </row>
    <row r="883" spans="1:9" ht="15" customHeight="1">
      <c r="A883" s="182"/>
      <c r="B883" s="182"/>
      <c r="C883" s="182"/>
      <c r="D883" s="182"/>
      <c r="E883" s="182"/>
      <c r="F883" s="182"/>
      <c r="G883" s="214"/>
      <c r="H883" s="234"/>
      <c r="I883" s="214"/>
    </row>
    <row r="884" spans="1:9" ht="15" customHeight="1">
      <c r="A884" s="192"/>
      <c r="B884" s="192"/>
      <c r="C884" s="192"/>
      <c r="D884" s="192"/>
      <c r="E884" s="192"/>
      <c r="F884" s="192"/>
      <c r="G884" s="243"/>
      <c r="H884" s="136"/>
      <c r="I884" s="137"/>
    </row>
    <row r="885" spans="1:9" ht="15" customHeight="1">
      <c r="A885" s="372"/>
      <c r="B885" s="372"/>
      <c r="C885" s="372"/>
      <c r="D885" s="372"/>
      <c r="E885" s="372"/>
      <c r="F885" s="372"/>
      <c r="G885" s="373"/>
      <c r="H885" s="372"/>
      <c r="I885" s="373"/>
    </row>
    <row r="886" spans="1:9" ht="15" customHeight="1">
      <c r="A886" s="734" t="s">
        <v>212</v>
      </c>
      <c r="B886" s="734"/>
      <c r="C886" s="734"/>
      <c r="D886" s="734"/>
      <c r="E886" s="734"/>
      <c r="F886" s="734"/>
      <c r="G886" s="734"/>
      <c r="H886" s="734"/>
      <c r="I886" s="734"/>
    </row>
    <row r="887" spans="1:9" ht="15" customHeight="1">
      <c r="A887" s="182"/>
      <c r="B887" s="182"/>
      <c r="C887" s="182"/>
      <c r="D887" s="182"/>
      <c r="E887" s="182"/>
      <c r="F887" s="182"/>
      <c r="G887" s="182"/>
      <c r="H887" s="182"/>
      <c r="I887" s="182"/>
    </row>
    <row r="888" spans="1:9" ht="15" customHeight="1">
      <c r="A888" s="167" t="s">
        <v>165</v>
      </c>
      <c r="B888" s="167"/>
      <c r="C888" s="167"/>
      <c r="D888" s="167"/>
      <c r="E888" s="167"/>
      <c r="F888" s="167"/>
      <c r="G888" s="168"/>
      <c r="H888" s="167"/>
      <c r="I888" s="168"/>
    </row>
    <row r="889" spans="1:9" ht="15" customHeight="1">
      <c r="A889" s="167" t="s">
        <v>166</v>
      </c>
      <c r="B889" s="167"/>
      <c r="C889" s="167"/>
      <c r="D889" s="167"/>
      <c r="E889" s="167"/>
      <c r="F889" s="167"/>
      <c r="G889" s="168"/>
      <c r="H889" s="167"/>
      <c r="I889" s="168"/>
    </row>
    <row r="890" spans="1:9" ht="15" customHeight="1">
      <c r="A890" s="167" t="s">
        <v>167</v>
      </c>
      <c r="B890" s="167"/>
      <c r="C890" s="167"/>
      <c r="D890" s="167"/>
      <c r="E890" s="167"/>
      <c r="F890" s="167"/>
      <c r="G890" s="168"/>
      <c r="H890" s="167"/>
      <c r="I890" s="168"/>
    </row>
    <row r="891" spans="1:9" ht="15" customHeight="1">
      <c r="A891" s="167" t="s">
        <v>117</v>
      </c>
      <c r="B891" s="167"/>
      <c r="C891" s="167"/>
      <c r="D891" s="167"/>
      <c r="E891" s="167"/>
      <c r="F891" s="167"/>
      <c r="G891" s="168"/>
      <c r="H891" s="167"/>
      <c r="I891" s="168"/>
    </row>
    <row r="892" spans="1:9" ht="15" customHeight="1">
      <c r="A892" s="167" t="s">
        <v>115</v>
      </c>
      <c r="B892" s="167"/>
      <c r="C892" s="167"/>
      <c r="D892" s="167"/>
      <c r="E892" s="167"/>
      <c r="F892" s="167"/>
      <c r="G892" s="168"/>
      <c r="H892" s="167"/>
      <c r="I892" s="168"/>
    </row>
    <row r="893" spans="1:9" ht="15" customHeight="1">
      <c r="A893" s="167" t="s">
        <v>118</v>
      </c>
      <c r="B893" s="167"/>
      <c r="C893" s="167"/>
      <c r="D893" s="167"/>
      <c r="E893" s="167"/>
      <c r="F893" s="167"/>
      <c r="G893" s="168"/>
      <c r="H893" s="167"/>
      <c r="I893" s="168"/>
    </row>
    <row r="894" spans="1:9" ht="15" customHeight="1">
      <c r="A894" s="167" t="s">
        <v>116</v>
      </c>
      <c r="B894" s="176"/>
      <c r="C894" s="176"/>
      <c r="D894" s="176"/>
      <c r="E894" s="176"/>
      <c r="F894" s="176"/>
      <c r="G894" s="176"/>
      <c r="H894" s="176"/>
      <c r="I894" s="176"/>
    </row>
    <row r="895" spans="1:9" ht="15" customHeight="1">
      <c r="A895" s="176" t="s">
        <v>114</v>
      </c>
      <c r="B895" s="176"/>
      <c r="C895" s="176"/>
      <c r="D895" s="176"/>
      <c r="E895" s="176"/>
      <c r="F895" s="176"/>
      <c r="G895" s="176"/>
      <c r="H895" s="176"/>
      <c r="I895" s="176"/>
    </row>
    <row r="896" spans="1:9" ht="15" customHeight="1">
      <c r="A896" s="167"/>
      <c r="B896" s="167"/>
      <c r="C896" s="167"/>
      <c r="D896" s="167"/>
      <c r="E896" s="167"/>
      <c r="F896" s="167"/>
      <c r="G896" s="168"/>
      <c r="H896" s="167"/>
      <c r="I896" s="168"/>
    </row>
    <row r="897" spans="1:9" ht="15" customHeight="1">
      <c r="A897" s="164" t="s">
        <v>30</v>
      </c>
      <c r="B897" s="178"/>
      <c r="C897" s="178"/>
      <c r="D897" s="178"/>
      <c r="E897" s="178"/>
      <c r="F897" s="178"/>
      <c r="G897" s="177"/>
      <c r="H897" s="180">
        <f>H655</f>
        <v>3.25</v>
      </c>
      <c r="I897" s="179" t="s">
        <v>23</v>
      </c>
    </row>
    <row r="898" spans="1:9" ht="15" customHeight="1">
      <c r="A898" s="165"/>
      <c r="B898" s="182"/>
      <c r="C898" s="182"/>
      <c r="D898" s="182"/>
      <c r="E898" s="182"/>
      <c r="F898" s="182"/>
      <c r="G898" s="214"/>
      <c r="H898" s="184"/>
      <c r="I898" s="183"/>
    </row>
    <row r="899" spans="1:9" ht="15" customHeight="1">
      <c r="A899" s="113" t="s">
        <v>200</v>
      </c>
      <c r="B899" s="114"/>
      <c r="C899" s="114"/>
      <c r="D899" s="114"/>
      <c r="E899" s="114"/>
      <c r="F899" s="114"/>
      <c r="G899" s="115"/>
      <c r="H899" s="116" t="s">
        <v>201</v>
      </c>
      <c r="I899" s="117"/>
    </row>
    <row r="900" spans="1:9" ht="15" customHeight="1">
      <c r="A900" s="165"/>
      <c r="B900" s="182"/>
      <c r="C900" s="182"/>
      <c r="D900" s="182"/>
      <c r="E900" s="182"/>
      <c r="F900" s="182"/>
      <c r="G900" s="214"/>
      <c r="H900" s="187"/>
      <c r="I900" s="183"/>
    </row>
    <row r="901" spans="1:9" ht="15" customHeight="1">
      <c r="A901" s="165" t="s">
        <v>202</v>
      </c>
      <c r="B901" s="182"/>
      <c r="C901" s="182" t="s">
        <v>77</v>
      </c>
      <c r="D901" s="182"/>
      <c r="E901" s="182"/>
      <c r="F901" s="182"/>
      <c r="G901" s="214"/>
      <c r="H901" s="188">
        <f>1610000*1.04</f>
        <v>1674400</v>
      </c>
      <c r="I901" s="183" t="s">
        <v>21</v>
      </c>
    </row>
    <row r="902" spans="1:9" ht="15" customHeight="1">
      <c r="A902" s="165"/>
      <c r="B902" s="182"/>
      <c r="C902" s="182"/>
      <c r="D902" s="182"/>
      <c r="E902" s="182"/>
      <c r="F902" s="182"/>
      <c r="G902" s="214"/>
      <c r="H902" s="184"/>
      <c r="I902" s="183"/>
    </row>
    <row r="903" spans="1:9" ht="15" customHeight="1">
      <c r="A903" s="165" t="s">
        <v>33</v>
      </c>
      <c r="B903" s="182"/>
      <c r="C903" s="182"/>
      <c r="D903" s="182" t="s">
        <v>77</v>
      </c>
      <c r="E903" s="182"/>
      <c r="F903" s="182"/>
      <c r="G903" s="214"/>
      <c r="H903" s="189">
        <v>400</v>
      </c>
      <c r="I903" s="183" t="s">
        <v>13</v>
      </c>
    </row>
    <row r="904" spans="1:9" ht="15" customHeight="1">
      <c r="A904" s="165"/>
      <c r="B904" s="182"/>
      <c r="C904" s="182"/>
      <c r="D904" s="182"/>
      <c r="E904" s="182"/>
      <c r="F904" s="182"/>
      <c r="G904" s="214"/>
      <c r="H904" s="184"/>
      <c r="I904" s="183"/>
    </row>
    <row r="905" spans="1:9" ht="15" customHeight="1">
      <c r="A905" s="165" t="s">
        <v>203</v>
      </c>
      <c r="B905" s="182"/>
      <c r="C905" s="182"/>
      <c r="D905" s="182"/>
      <c r="E905" s="182"/>
      <c r="F905" s="182"/>
      <c r="G905" s="214"/>
      <c r="H905" s="186">
        <v>5</v>
      </c>
      <c r="I905" s="183" t="s">
        <v>14</v>
      </c>
    </row>
    <row r="906" spans="1:9" ht="15" customHeight="1">
      <c r="A906" s="165"/>
      <c r="B906" s="182"/>
      <c r="C906" s="182"/>
      <c r="D906" s="182"/>
      <c r="E906" s="182"/>
      <c r="F906" s="182"/>
      <c r="G906" s="214"/>
      <c r="H906" s="184"/>
      <c r="I906" s="183"/>
    </row>
    <row r="907" spans="1:9" ht="15" customHeight="1">
      <c r="A907" s="165" t="s">
        <v>204</v>
      </c>
      <c r="B907" s="182"/>
      <c r="C907" s="182"/>
      <c r="D907" s="182"/>
      <c r="E907" s="182"/>
      <c r="F907" s="182"/>
      <c r="G907" s="214"/>
      <c r="H907" s="232">
        <f>VLOOKUP(A636,$A$33:$H$36,5,FALSE)</f>
        <v>18.899999999999999</v>
      </c>
      <c r="I907" s="183" t="s">
        <v>4</v>
      </c>
    </row>
    <row r="908" spans="1:9" ht="15" customHeight="1">
      <c r="A908" s="165"/>
      <c r="B908" s="182"/>
      <c r="C908" s="182"/>
      <c r="D908" s="182"/>
      <c r="E908" s="182"/>
      <c r="F908" s="182"/>
      <c r="G908" s="214"/>
      <c r="H908" s="184"/>
      <c r="I908" s="183"/>
    </row>
    <row r="909" spans="1:9" ht="15" customHeight="1">
      <c r="A909" s="165" t="s">
        <v>111</v>
      </c>
      <c r="B909" s="182"/>
      <c r="C909" s="182" t="s">
        <v>36</v>
      </c>
      <c r="D909" s="182"/>
      <c r="E909" s="182"/>
      <c r="F909" s="182"/>
      <c r="G909" s="214"/>
      <c r="H909" s="189">
        <v>270</v>
      </c>
      <c r="I909" s="183" t="s">
        <v>37</v>
      </c>
    </row>
    <row r="910" spans="1:9" ht="15" customHeight="1">
      <c r="A910" s="165"/>
      <c r="B910" s="182"/>
      <c r="C910" s="182"/>
      <c r="D910" s="182"/>
      <c r="E910" s="182"/>
      <c r="F910" s="182"/>
      <c r="G910" s="214"/>
      <c r="H910" s="184"/>
      <c r="I910" s="183"/>
    </row>
    <row r="911" spans="1:9" ht="15" customHeight="1">
      <c r="A911" s="165" t="s">
        <v>76</v>
      </c>
      <c r="B911" s="182"/>
      <c r="C911" s="182"/>
      <c r="D911" s="182"/>
      <c r="E911" s="182"/>
      <c r="F911" s="182"/>
      <c r="G911" s="214"/>
      <c r="H911" s="190">
        <f>RESUMO!$B$13</f>
        <v>724</v>
      </c>
      <c r="I911" s="183" t="s">
        <v>23</v>
      </c>
    </row>
    <row r="912" spans="1:9" ht="15" customHeight="1">
      <c r="A912" s="165"/>
      <c r="B912" s="182"/>
      <c r="C912" s="182"/>
      <c r="D912" s="182"/>
      <c r="E912" s="182"/>
      <c r="F912" s="182"/>
      <c r="G912" s="214"/>
      <c r="H912" s="184"/>
      <c r="I912" s="183"/>
    </row>
    <row r="913" spans="1:9" ht="15" customHeight="1">
      <c r="A913" s="166" t="s">
        <v>205</v>
      </c>
      <c r="B913" s="192"/>
      <c r="C913" s="192"/>
      <c r="D913" s="192" t="s">
        <v>178</v>
      </c>
      <c r="E913" s="192"/>
      <c r="F913" s="192"/>
      <c r="G913" s="243"/>
      <c r="H913" s="315">
        <f>ROUND(MAX(RESUMO!$B$8:$D$8),2)</f>
        <v>2.56</v>
      </c>
      <c r="I913" s="193" t="s">
        <v>23</v>
      </c>
    </row>
    <row r="914" spans="1:9" ht="15" customHeight="1">
      <c r="A914" s="182"/>
      <c r="B914" s="182"/>
      <c r="C914" s="182"/>
      <c r="D914" s="182"/>
      <c r="E914" s="182"/>
      <c r="F914" s="182"/>
      <c r="G914" s="214"/>
      <c r="H914" s="238"/>
      <c r="I914" s="214"/>
    </row>
    <row r="915" spans="1:9" ht="15" customHeight="1">
      <c r="A915" s="196" t="s">
        <v>39</v>
      </c>
      <c r="B915" s="167" t="s">
        <v>40</v>
      </c>
    </row>
    <row r="916" spans="1:9" ht="15" customHeight="1">
      <c r="A916" s="182"/>
      <c r="B916" s="182"/>
      <c r="C916" s="182"/>
      <c r="D916" s="182"/>
      <c r="E916" s="182"/>
      <c r="F916" s="182"/>
      <c r="G916" s="214"/>
      <c r="H916" s="241"/>
      <c r="I916" s="214"/>
    </row>
    <row r="917" spans="1:9" ht="15" customHeight="1">
      <c r="A917" s="182"/>
      <c r="B917" s="182"/>
      <c r="C917" s="182"/>
      <c r="D917" s="182"/>
      <c r="E917" s="182"/>
      <c r="F917" s="182"/>
      <c r="G917" s="214"/>
      <c r="H917" s="241"/>
      <c r="I917" s="214"/>
    </row>
    <row r="918" spans="1:9" ht="15" customHeight="1">
      <c r="C918" s="167"/>
      <c r="D918" s="167"/>
      <c r="E918" s="167"/>
      <c r="F918" s="167"/>
      <c r="G918" s="168"/>
      <c r="H918" s="167"/>
      <c r="I918" s="168"/>
    </row>
    <row r="919" spans="1:9" ht="15" customHeight="1">
      <c r="A919" s="182"/>
      <c r="B919" s="182"/>
      <c r="C919" s="182"/>
      <c r="D919" s="182"/>
      <c r="E919" s="182"/>
      <c r="F919" s="182"/>
      <c r="G919" s="214"/>
      <c r="H919" s="241"/>
      <c r="I919" s="214"/>
    </row>
    <row r="920" spans="1:9" ht="15" customHeight="1">
      <c r="A920" s="182"/>
      <c r="B920" s="182"/>
      <c r="C920" s="182"/>
      <c r="D920" s="182"/>
      <c r="E920" s="182"/>
      <c r="F920" s="182"/>
      <c r="G920" s="214"/>
      <c r="H920" s="241"/>
      <c r="I920" s="214"/>
    </row>
    <row r="921" spans="1:9" ht="15" customHeight="1">
      <c r="A921" s="182"/>
      <c r="B921" s="182"/>
      <c r="C921" s="182"/>
      <c r="D921" s="182"/>
      <c r="E921" s="182"/>
      <c r="F921" s="182"/>
      <c r="G921" s="214"/>
      <c r="H921" s="241"/>
      <c r="I921" s="214"/>
    </row>
    <row r="922" spans="1:9" ht="15" customHeight="1">
      <c r="A922" s="182"/>
      <c r="B922" s="182"/>
      <c r="C922" s="182"/>
      <c r="D922" s="182"/>
      <c r="E922" s="182"/>
      <c r="F922" s="182"/>
      <c r="G922" s="214"/>
      <c r="H922" s="241"/>
      <c r="I922" s="214"/>
    </row>
    <row r="923" spans="1:9" ht="15" customHeight="1">
      <c r="A923" s="182"/>
      <c r="B923" s="182"/>
      <c r="C923" s="182"/>
      <c r="D923" s="182"/>
      <c r="E923" s="182"/>
      <c r="F923" s="182"/>
      <c r="G923" s="214"/>
      <c r="H923" s="241"/>
      <c r="I923" s="214"/>
    </row>
    <row r="924" spans="1:9" ht="15" customHeight="1">
      <c r="A924" s="182"/>
      <c r="B924" s="182"/>
      <c r="C924" s="182"/>
      <c r="D924" s="182"/>
      <c r="E924" s="182"/>
      <c r="F924" s="182"/>
      <c r="G924" s="214"/>
      <c r="H924" s="241"/>
      <c r="I924" s="214"/>
    </row>
    <row r="925" spans="1:9" ht="15" customHeight="1">
      <c r="A925" s="182"/>
      <c r="B925" s="182"/>
      <c r="C925" s="182"/>
      <c r="D925" s="182"/>
      <c r="E925" s="182"/>
      <c r="F925" s="182"/>
      <c r="G925" s="214"/>
      <c r="H925" s="241"/>
      <c r="I925" s="214"/>
    </row>
    <row r="926" spans="1:9" ht="15" customHeight="1">
      <c r="A926" s="182"/>
      <c r="B926" s="182"/>
      <c r="C926" s="182"/>
      <c r="D926" s="182"/>
      <c r="E926" s="182"/>
      <c r="F926" s="182"/>
      <c r="G926" s="214"/>
      <c r="H926" s="241"/>
      <c r="I926" s="214"/>
    </row>
    <row r="927" spans="1:9" ht="15" customHeight="1">
      <c r="A927" s="182"/>
      <c r="B927" s="182"/>
      <c r="C927" s="182"/>
      <c r="D927" s="182"/>
      <c r="E927" s="182"/>
      <c r="F927" s="182"/>
      <c r="G927" s="214"/>
      <c r="H927" s="241"/>
      <c r="I927" s="214"/>
    </row>
    <row r="928" spans="1:9" ht="15" customHeight="1">
      <c r="A928" s="182"/>
      <c r="B928" s="182"/>
      <c r="C928" s="182"/>
      <c r="D928" s="182"/>
      <c r="E928" s="182"/>
      <c r="F928" s="182"/>
      <c r="G928" s="214"/>
      <c r="H928" s="241"/>
      <c r="I928" s="214"/>
    </row>
    <row r="929" spans="1:9" ht="15" customHeight="1">
      <c r="A929" s="182"/>
      <c r="B929" s="182"/>
      <c r="C929" s="182"/>
      <c r="D929" s="182"/>
      <c r="E929" s="182"/>
      <c r="F929" s="182"/>
      <c r="G929" s="214"/>
      <c r="H929" s="241"/>
      <c r="I929" s="214"/>
    </row>
    <row r="930" spans="1:9" ht="15" customHeight="1">
      <c r="A930" s="182"/>
      <c r="B930" s="182"/>
      <c r="C930" s="182"/>
      <c r="D930" s="182"/>
      <c r="E930" s="182"/>
      <c r="F930" s="182"/>
      <c r="G930" s="214"/>
      <c r="H930" s="241"/>
      <c r="I930" s="214"/>
    </row>
    <row r="931" spans="1:9" ht="15" customHeight="1">
      <c r="A931" s="182"/>
      <c r="B931" s="182"/>
      <c r="C931" s="182"/>
      <c r="D931" s="182"/>
      <c r="E931" s="182"/>
      <c r="F931" s="182"/>
      <c r="G931" s="214"/>
      <c r="H931" s="241"/>
      <c r="I931" s="214"/>
    </row>
    <row r="932" spans="1:9" ht="15" customHeight="1">
      <c r="A932" s="182"/>
      <c r="B932" s="182"/>
      <c r="C932" s="182"/>
      <c r="D932" s="182"/>
      <c r="E932" s="182"/>
      <c r="F932" s="182"/>
      <c r="G932" s="214"/>
      <c r="H932" s="241"/>
      <c r="I932" s="214"/>
    </row>
    <row r="933" spans="1:9" ht="15" customHeight="1"/>
    <row r="934" spans="1:9" ht="15" customHeight="1">
      <c r="A934" s="101"/>
      <c r="B934" s="85"/>
      <c r="C934" s="85"/>
      <c r="D934" s="85"/>
      <c r="E934" s="85"/>
      <c r="F934" s="85"/>
      <c r="G934" s="85"/>
      <c r="H934" s="102"/>
      <c r="I934" s="102"/>
    </row>
    <row r="935" spans="1:9" ht="15" customHeight="1">
      <c r="A935" s="119"/>
      <c r="B935" s="120"/>
      <c r="C935" s="120"/>
      <c r="D935" s="120"/>
      <c r="E935" s="120"/>
      <c r="F935" s="120"/>
      <c r="G935" s="120"/>
      <c r="H935" s="120"/>
      <c r="I935" s="120"/>
    </row>
    <row r="936" spans="1:9" ht="15" customHeight="1">
      <c r="A936" s="738" t="s">
        <v>214</v>
      </c>
      <c r="B936" s="738"/>
      <c r="C936" s="738"/>
      <c r="D936" s="738"/>
      <c r="E936" s="738"/>
      <c r="F936" s="738"/>
      <c r="G936" s="738"/>
      <c r="H936" s="738"/>
      <c r="I936" s="738"/>
    </row>
    <row r="937" spans="1:9" ht="15" customHeight="1">
      <c r="A937" s="769" t="s">
        <v>110</v>
      </c>
      <c r="B937" s="769"/>
      <c r="C937" s="769"/>
      <c r="D937" s="769"/>
      <c r="E937" s="769"/>
      <c r="F937" s="769"/>
      <c r="G937" s="769"/>
      <c r="H937" s="769"/>
      <c r="I937" s="769"/>
    </row>
    <row r="938" spans="1:9" ht="15" customHeight="1">
      <c r="A938" s="255"/>
      <c r="B938" s="255"/>
      <c r="C938" s="255"/>
      <c r="D938" s="255"/>
      <c r="E938" s="255"/>
      <c r="F938" s="255"/>
      <c r="G938" s="255"/>
      <c r="H938" s="255"/>
      <c r="I938" s="255"/>
    </row>
    <row r="939" spans="1:9" ht="15" customHeight="1">
      <c r="A939" s="167" t="s">
        <v>94</v>
      </c>
      <c r="B939" s="167"/>
      <c r="C939" s="167"/>
      <c r="D939" s="167"/>
      <c r="E939" s="167"/>
      <c r="F939" s="167"/>
      <c r="G939" s="168"/>
      <c r="H939" s="167"/>
      <c r="I939" s="168"/>
    </row>
    <row r="940" spans="1:9" ht="15" customHeight="1">
      <c r="A940" s="167"/>
      <c r="B940" s="164" t="s">
        <v>50</v>
      </c>
      <c r="C940" s="197"/>
      <c r="D940" s="181" t="s">
        <v>51</v>
      </c>
      <c r="E940" s="778">
        <f>4*H954*G940</f>
        <v>8688</v>
      </c>
      <c r="F940" s="779"/>
      <c r="G940" s="201">
        <v>3</v>
      </c>
      <c r="H940" s="167"/>
      <c r="I940" s="168"/>
    </row>
    <row r="941" spans="1:9" ht="15" customHeight="1">
      <c r="A941" s="167"/>
      <c r="B941" s="166" t="s">
        <v>53</v>
      </c>
      <c r="C941" s="199"/>
      <c r="D941" s="195" t="s">
        <v>51</v>
      </c>
      <c r="E941" s="778">
        <f>4*H954*G941</f>
        <v>8688</v>
      </c>
      <c r="F941" s="779"/>
      <c r="G941" s="201">
        <v>3</v>
      </c>
      <c r="H941" s="167"/>
      <c r="I941" s="168"/>
    </row>
    <row r="942" spans="1:9" ht="15" customHeight="1">
      <c r="A942" s="167"/>
      <c r="B942" s="167"/>
      <c r="C942" s="167"/>
      <c r="D942" s="168"/>
      <c r="E942" s="166" t="s">
        <v>60</v>
      </c>
      <c r="F942" s="199"/>
      <c r="G942" s="195">
        <f>SUM(G940:G941)</f>
        <v>6</v>
      </c>
      <c r="H942" s="167"/>
      <c r="I942" s="168"/>
    </row>
    <row r="943" spans="1:9" ht="15" customHeight="1">
      <c r="A943" s="167"/>
      <c r="B943" s="167"/>
      <c r="C943" s="167"/>
      <c r="D943" s="168"/>
      <c r="E943" s="167"/>
      <c r="F943" s="167"/>
      <c r="G943" s="168" t="s">
        <v>61</v>
      </c>
      <c r="H943" s="202">
        <f>E940+E941</f>
        <v>17376</v>
      </c>
      <c r="I943" s="168"/>
    </row>
    <row r="944" spans="1:9" ht="15" customHeight="1">
      <c r="A944" s="167"/>
      <c r="B944" s="167"/>
      <c r="C944" s="167"/>
      <c r="D944" s="167"/>
      <c r="E944" s="167"/>
      <c r="F944" s="167"/>
      <c r="G944" s="168"/>
      <c r="H944" s="167"/>
      <c r="I944" s="168"/>
    </row>
    <row r="945" spans="1:9" ht="15" customHeight="1">
      <c r="A945" s="167" t="s">
        <v>70</v>
      </c>
      <c r="B945" s="167"/>
      <c r="C945" s="167"/>
      <c r="D945" s="167"/>
      <c r="E945" s="167"/>
      <c r="F945" s="167"/>
      <c r="G945" s="168"/>
      <c r="H945" s="167"/>
      <c r="I945" s="168"/>
    </row>
    <row r="946" spans="1:9" ht="15" customHeight="1">
      <c r="A946" s="167"/>
      <c r="B946" s="167"/>
      <c r="C946" s="167"/>
      <c r="D946" s="167" t="s">
        <v>71</v>
      </c>
      <c r="E946" s="167"/>
      <c r="F946" s="167"/>
      <c r="G946" s="168"/>
      <c r="H946" s="202">
        <f>H943*2</f>
        <v>34752</v>
      </c>
      <c r="I946" s="168"/>
    </row>
    <row r="947" spans="1:9" ht="15" customHeight="1">
      <c r="A947" s="167"/>
      <c r="B947" s="167"/>
      <c r="C947" s="167"/>
      <c r="D947" s="167"/>
      <c r="E947" s="167"/>
      <c r="F947" s="167"/>
      <c r="G947" s="168"/>
      <c r="H947" s="167"/>
      <c r="I947" s="168"/>
    </row>
    <row r="948" spans="1:9" ht="15" customHeight="1">
      <c r="A948" s="167" t="s">
        <v>73</v>
      </c>
      <c r="B948" s="167"/>
      <c r="C948" s="167"/>
      <c r="E948" s="167"/>
      <c r="F948" s="167"/>
      <c r="G948" s="168"/>
      <c r="I948" s="168"/>
    </row>
    <row r="949" spans="1:9" ht="15" customHeight="1">
      <c r="A949" s="108" t="s">
        <v>193</v>
      </c>
      <c r="B949" s="19"/>
      <c r="C949" s="19"/>
      <c r="D949" s="109"/>
      <c r="E949" s="19"/>
      <c r="G949" s="109">
        <f>RESUMO!B15</f>
        <v>0.47710000000000002</v>
      </c>
      <c r="H949" s="202">
        <f>H946*0.7451</f>
        <v>25893.715199999999</v>
      </c>
      <c r="I949" s="168"/>
    </row>
    <row r="950" spans="1:9" ht="15" customHeight="1">
      <c r="A950" s="167"/>
      <c r="B950" s="167"/>
      <c r="C950" s="167"/>
      <c r="D950" s="167"/>
      <c r="E950" s="167"/>
      <c r="F950" s="167"/>
      <c r="G950" s="168"/>
      <c r="H950" s="167"/>
      <c r="I950" s="168"/>
    </row>
    <row r="951" spans="1:9" ht="15" customHeight="1">
      <c r="A951" s="200" t="s">
        <v>74</v>
      </c>
      <c r="B951" s="203"/>
      <c r="C951" s="203"/>
      <c r="D951" s="203"/>
      <c r="E951" s="203"/>
      <c r="F951" s="203"/>
      <c r="G951" s="204"/>
      <c r="H951" s="27">
        <f>H946+H949</f>
        <v>60645.715199999999</v>
      </c>
      <c r="I951" s="168"/>
    </row>
    <row r="952" spans="1:9" ht="15" customHeight="1">
      <c r="A952" s="167"/>
      <c r="B952" s="167"/>
      <c r="C952" s="167"/>
      <c r="D952" s="167"/>
      <c r="E952" s="167"/>
      <c r="F952" s="167"/>
      <c r="G952" s="168"/>
      <c r="H952" s="167"/>
      <c r="I952" s="168"/>
    </row>
    <row r="953" spans="1:9" ht="15" customHeight="1">
      <c r="A953" s="167"/>
      <c r="B953" s="167"/>
      <c r="C953" s="167"/>
      <c r="D953" s="167"/>
      <c r="E953" s="167"/>
      <c r="F953" s="167"/>
      <c r="G953" s="168"/>
      <c r="H953" s="167"/>
      <c r="I953" s="168"/>
    </row>
    <row r="954" spans="1:9" ht="15" customHeight="1">
      <c r="A954" s="167"/>
      <c r="B954" s="167"/>
      <c r="C954" s="167"/>
      <c r="D954" s="167"/>
      <c r="E954" s="167" t="s">
        <v>75</v>
      </c>
      <c r="F954" s="167"/>
      <c r="G954" s="168"/>
      <c r="H954" s="205">
        <f>H911</f>
        <v>724</v>
      </c>
      <c r="I954" s="168"/>
    </row>
    <row r="955" spans="1:9" ht="15" customHeight="1">
      <c r="A955" s="167"/>
      <c r="B955" s="167"/>
      <c r="C955" s="167"/>
      <c r="D955" s="167"/>
      <c r="E955" s="167"/>
      <c r="F955" s="167"/>
      <c r="G955" s="168"/>
      <c r="H955" s="316"/>
      <c r="I955" s="168"/>
    </row>
    <row r="956" spans="1:9" ht="15" customHeight="1">
      <c r="A956" s="167"/>
      <c r="B956" s="167"/>
      <c r="C956" s="167"/>
      <c r="D956" s="167"/>
      <c r="E956" s="167"/>
      <c r="F956" s="167"/>
      <c r="G956" s="168"/>
      <c r="H956" s="316"/>
      <c r="I956" s="168"/>
    </row>
    <row r="957" spans="1:9" ht="15" customHeight="1">
      <c r="A957" s="167"/>
      <c r="B957" s="167"/>
      <c r="C957" s="167"/>
      <c r="D957" s="167"/>
      <c r="E957" s="167"/>
      <c r="F957" s="167"/>
      <c r="G957" s="168"/>
      <c r="H957" s="316"/>
      <c r="I957" s="168"/>
    </row>
    <row r="958" spans="1:9" ht="15" customHeight="1">
      <c r="A958" s="182"/>
      <c r="B958" s="182"/>
      <c r="C958" s="182"/>
      <c r="D958" s="182"/>
      <c r="E958" s="182"/>
      <c r="F958" s="182"/>
      <c r="G958" s="214"/>
      <c r="H958" s="348"/>
      <c r="I958" s="214"/>
    </row>
    <row r="959" spans="1:9" ht="15" customHeight="1">
      <c r="A959" s="182"/>
      <c r="B959" s="182"/>
      <c r="C959" s="182"/>
      <c r="D959" s="214"/>
      <c r="E959" s="797"/>
      <c r="F959" s="797"/>
      <c r="G959" s="214"/>
      <c r="H959" s="182"/>
      <c r="I959" s="214"/>
    </row>
    <row r="960" spans="1:9" ht="15" customHeight="1">
      <c r="A960" s="182"/>
      <c r="B960" s="182"/>
      <c r="C960" s="182"/>
      <c r="D960" s="214"/>
      <c r="E960" s="780"/>
      <c r="F960" s="780"/>
      <c r="G960" s="214"/>
      <c r="H960" s="182"/>
      <c r="I960" s="214"/>
    </row>
    <row r="961" spans="1:9" ht="15" customHeight="1">
      <c r="A961" s="182"/>
      <c r="B961" s="182"/>
      <c r="C961" s="182"/>
      <c r="D961" s="182"/>
      <c r="E961" s="182"/>
      <c r="F961" s="182"/>
      <c r="G961" s="214"/>
      <c r="H961" s="348"/>
      <c r="I961" s="214"/>
    </row>
    <row r="962" spans="1:9" ht="15" customHeight="1">
      <c r="A962" s="182"/>
      <c r="B962" s="182"/>
      <c r="C962" s="182"/>
      <c r="D962" s="182"/>
      <c r="E962" s="182"/>
      <c r="F962" s="182"/>
      <c r="G962" s="214"/>
      <c r="H962" s="348"/>
      <c r="I962" s="214"/>
    </row>
    <row r="963" spans="1:9" ht="15" customHeight="1">
      <c r="A963" s="167"/>
      <c r="B963" s="167"/>
      <c r="C963" s="167"/>
      <c r="D963" s="167"/>
      <c r="E963" s="167"/>
      <c r="F963" s="167"/>
      <c r="G963" s="168"/>
      <c r="H963" s="316"/>
      <c r="I963" s="168"/>
    </row>
    <row r="964" spans="1:9" ht="15" customHeight="1">
      <c r="A964" s="167"/>
      <c r="B964" s="167"/>
      <c r="C964" s="167"/>
      <c r="D964" s="167"/>
      <c r="E964" s="167"/>
      <c r="F964" s="167"/>
      <c r="G964" s="168"/>
      <c r="H964" s="316"/>
      <c r="I964" s="168"/>
    </row>
    <row r="965" spans="1:9" ht="15" customHeight="1">
      <c r="A965" s="167"/>
      <c r="B965" s="167"/>
      <c r="C965" s="167"/>
      <c r="D965" s="167"/>
      <c r="E965" s="167"/>
      <c r="F965" s="167"/>
      <c r="G965" s="168"/>
      <c r="H965" s="316"/>
      <c r="I965" s="168"/>
    </row>
    <row r="966" spans="1:9" ht="15" customHeight="1">
      <c r="A966" s="167"/>
      <c r="B966" s="167"/>
      <c r="C966" s="167"/>
      <c r="D966" s="167"/>
      <c r="E966" s="167"/>
      <c r="F966" s="167"/>
      <c r="G966" s="168"/>
      <c r="H966" s="316"/>
      <c r="I966" s="168"/>
    </row>
    <row r="967" spans="1:9" ht="15" customHeight="1">
      <c r="A967" s="167"/>
      <c r="B967" s="167"/>
      <c r="C967" s="167"/>
      <c r="D967" s="167"/>
      <c r="E967" s="167"/>
      <c r="F967" s="167"/>
      <c r="G967" s="168"/>
      <c r="H967" s="316"/>
      <c r="I967" s="168"/>
    </row>
    <row r="968" spans="1:9" ht="15" customHeight="1">
      <c r="A968" s="167"/>
      <c r="B968" s="167"/>
      <c r="C968" s="167"/>
      <c r="D968" s="167"/>
      <c r="E968" s="167"/>
      <c r="F968" s="167"/>
      <c r="G968" s="168"/>
      <c r="H968" s="316"/>
      <c r="I968" s="168"/>
    </row>
    <row r="969" spans="1:9" ht="15" customHeight="1">
      <c r="A969" s="167"/>
      <c r="B969" s="167"/>
      <c r="C969" s="167"/>
      <c r="D969" s="167"/>
      <c r="E969" s="167"/>
      <c r="F969" s="167"/>
      <c r="G969" s="168"/>
      <c r="H969" s="316"/>
      <c r="I969" s="168"/>
    </row>
    <row r="970" spans="1:9" ht="15" customHeight="1">
      <c r="A970" s="167"/>
      <c r="B970" s="167"/>
      <c r="C970" s="167"/>
      <c r="D970" s="167"/>
      <c r="E970" s="167"/>
      <c r="F970" s="167"/>
      <c r="G970" s="168"/>
      <c r="H970" s="316"/>
      <c r="I970" s="168"/>
    </row>
    <row r="971" spans="1:9" ht="15" customHeight="1">
      <c r="A971" s="167"/>
      <c r="B971" s="167"/>
      <c r="C971" s="167"/>
      <c r="D971" s="167"/>
      <c r="E971" s="167"/>
      <c r="F971" s="167"/>
      <c r="G971" s="168"/>
      <c r="H971" s="316"/>
      <c r="I971" s="168"/>
    </row>
    <row r="972" spans="1:9" ht="15" customHeight="1">
      <c r="A972" s="167"/>
      <c r="B972" s="167"/>
      <c r="C972" s="167"/>
      <c r="D972" s="167"/>
      <c r="E972" s="167"/>
      <c r="F972" s="167"/>
      <c r="G972" s="168"/>
      <c r="H972" s="316"/>
      <c r="I972" s="168"/>
    </row>
    <row r="973" spans="1:9" ht="15" customHeight="1">
      <c r="A973" s="167"/>
      <c r="B973" s="167"/>
      <c r="C973" s="167"/>
      <c r="D973" s="167"/>
      <c r="E973" s="167"/>
      <c r="F973" s="167"/>
      <c r="G973" s="168"/>
      <c r="H973" s="316"/>
      <c r="I973" s="168"/>
    </row>
    <row r="974" spans="1:9" ht="15" customHeight="1">
      <c r="A974" s="167"/>
      <c r="B974" s="167"/>
      <c r="C974" s="167"/>
      <c r="D974" s="167"/>
      <c r="E974" s="167"/>
      <c r="F974" s="167"/>
      <c r="G974" s="168"/>
      <c r="H974" s="316"/>
      <c r="I974" s="168"/>
    </row>
    <row r="975" spans="1:9" ht="15" customHeight="1">
      <c r="A975" s="167"/>
      <c r="B975" s="167"/>
      <c r="C975" s="167"/>
      <c r="D975" s="167"/>
      <c r="E975" s="167"/>
      <c r="F975" s="167"/>
      <c r="G975" s="168"/>
      <c r="H975" s="316"/>
      <c r="I975" s="168"/>
    </row>
    <row r="976" spans="1:9" ht="15" customHeight="1">
      <c r="A976" s="167"/>
      <c r="B976" s="167"/>
      <c r="C976" s="167"/>
      <c r="D976" s="167"/>
      <c r="E976" s="167"/>
      <c r="F976" s="167"/>
      <c r="G976" s="168"/>
      <c r="H976" s="316"/>
      <c r="I976" s="168"/>
    </row>
    <row r="977" spans="1:9" ht="15" customHeight="1">
      <c r="A977" s="167"/>
      <c r="B977" s="167"/>
      <c r="C977" s="167"/>
      <c r="D977" s="167"/>
      <c r="E977" s="167"/>
      <c r="F977" s="167"/>
      <c r="G977" s="168"/>
      <c r="H977" s="316"/>
      <c r="I977" s="168"/>
    </row>
    <row r="978" spans="1:9" ht="15" customHeight="1">
      <c r="A978" s="167"/>
      <c r="B978" s="167"/>
      <c r="C978" s="167"/>
      <c r="D978" s="167"/>
      <c r="E978" s="167"/>
      <c r="F978" s="167"/>
      <c r="G978" s="168"/>
      <c r="H978" s="316"/>
      <c r="I978" s="168"/>
    </row>
    <row r="979" spans="1:9" ht="15" customHeight="1">
      <c r="A979" s="167"/>
      <c r="B979" s="167"/>
      <c r="C979" s="167"/>
      <c r="D979" s="167"/>
      <c r="E979" s="167"/>
      <c r="F979" s="167"/>
      <c r="G979" s="168"/>
      <c r="H979" s="316"/>
      <c r="I979" s="168"/>
    </row>
    <row r="980" spans="1:9" ht="15" customHeight="1">
      <c r="A980" s="167"/>
      <c r="B980" s="167"/>
      <c r="C980" s="167"/>
      <c r="D980" s="167"/>
      <c r="E980" s="167"/>
      <c r="F980" s="167"/>
      <c r="G980" s="168"/>
      <c r="H980" s="316"/>
      <c r="I980" s="168"/>
    </row>
    <row r="981" spans="1:9" ht="15" customHeight="1">
      <c r="A981" s="167"/>
      <c r="B981" s="167"/>
      <c r="C981" s="167"/>
      <c r="D981" s="167"/>
      <c r="E981" s="167"/>
      <c r="F981" s="167"/>
      <c r="G981" s="168"/>
      <c r="H981" s="316"/>
      <c r="I981" s="168"/>
    </row>
    <row r="982" spans="1:9" ht="15" customHeight="1">
      <c r="A982" s="167"/>
      <c r="B982" s="167"/>
      <c r="C982" s="167"/>
      <c r="D982" s="167"/>
      <c r="E982" s="167"/>
      <c r="F982" s="167"/>
      <c r="G982" s="168"/>
      <c r="H982" s="316"/>
      <c r="I982" s="168"/>
    </row>
    <row r="983" spans="1:9" ht="15" customHeight="1">
      <c r="A983" s="167"/>
      <c r="B983" s="167"/>
      <c r="C983" s="167"/>
      <c r="D983" s="167"/>
      <c r="E983" s="167"/>
      <c r="F983" s="167"/>
      <c r="G983" s="168"/>
      <c r="H983" s="316"/>
      <c r="I983" s="168"/>
    </row>
    <row r="984" spans="1:9" ht="15" customHeight="1">
      <c r="A984" s="101"/>
      <c r="B984" s="85"/>
      <c r="C984" s="85"/>
      <c r="D984" s="85"/>
      <c r="E984" s="85"/>
      <c r="F984" s="85"/>
      <c r="G984" s="85"/>
      <c r="H984" s="102"/>
      <c r="I984" s="102"/>
    </row>
    <row r="985" spans="1:9" ht="15" customHeight="1">
      <c r="A985" s="34"/>
      <c r="B985" s="34"/>
      <c r="C985" s="34"/>
      <c r="D985" s="34"/>
      <c r="E985" s="34"/>
      <c r="F985" s="34"/>
      <c r="G985" s="394"/>
      <c r="H985" s="410"/>
      <c r="I985" s="395"/>
    </row>
    <row r="986" spans="1:9" ht="15" customHeight="1">
      <c r="A986" s="738" t="s">
        <v>215</v>
      </c>
      <c r="B986" s="738"/>
      <c r="C986" s="738"/>
      <c r="D986" s="738"/>
      <c r="E986" s="738"/>
      <c r="F986" s="738"/>
      <c r="G986" s="738"/>
      <c r="H986" s="738"/>
      <c r="I986" s="738"/>
    </row>
    <row r="987" spans="1:9" ht="15" customHeight="1">
      <c r="A987" s="167"/>
      <c r="B987" s="167"/>
      <c r="C987" s="167"/>
      <c r="D987" s="167"/>
      <c r="E987" s="167"/>
      <c r="F987" s="167"/>
      <c r="G987" s="168"/>
      <c r="H987" s="167"/>
      <c r="I987" s="168"/>
    </row>
    <row r="988" spans="1:9" ht="15" customHeight="1">
      <c r="A988" s="167" t="s">
        <v>112</v>
      </c>
      <c r="B988" s="167"/>
      <c r="C988" s="167"/>
      <c r="D988" s="167"/>
      <c r="E988" s="167"/>
      <c r="F988" s="167"/>
      <c r="G988" s="167"/>
      <c r="H988" s="167"/>
      <c r="I988" s="168"/>
    </row>
    <row r="989" spans="1:9" ht="15" customHeight="1">
      <c r="A989" s="167" t="s">
        <v>161</v>
      </c>
      <c r="B989" s="167"/>
      <c r="C989" s="167"/>
      <c r="D989" s="167"/>
      <c r="E989" s="167"/>
      <c r="F989" s="167"/>
      <c r="G989" s="167"/>
      <c r="H989" s="167"/>
      <c r="I989" s="168"/>
    </row>
    <row r="990" spans="1:9" ht="15" customHeight="1">
      <c r="A990" s="167"/>
      <c r="B990" s="167"/>
      <c r="C990" s="167"/>
      <c r="D990" s="167"/>
      <c r="E990" s="167"/>
      <c r="F990" s="167"/>
      <c r="G990" s="167"/>
      <c r="H990" s="167"/>
      <c r="I990" s="168"/>
    </row>
    <row r="991" spans="1:9" ht="15" customHeight="1">
      <c r="A991" s="167"/>
      <c r="B991" s="167"/>
      <c r="C991" s="167"/>
      <c r="D991" s="167"/>
      <c r="E991" s="167"/>
      <c r="F991" s="167"/>
      <c r="G991" s="168"/>
      <c r="H991" s="167"/>
      <c r="I991" s="168"/>
    </row>
    <row r="992" spans="1:9" ht="15" customHeight="1">
      <c r="A992" s="167"/>
      <c r="B992" s="167"/>
      <c r="C992" s="167"/>
      <c r="D992" s="167"/>
      <c r="E992" s="167"/>
      <c r="F992" s="167"/>
      <c r="G992" s="168"/>
      <c r="H992" s="167"/>
      <c r="I992" s="168"/>
    </row>
    <row r="993" spans="1:9" ht="15" customHeight="1">
      <c r="A993" s="167"/>
      <c r="B993" s="167"/>
      <c r="C993" s="167"/>
      <c r="D993" s="167"/>
      <c r="E993" s="167"/>
      <c r="F993" s="167"/>
      <c r="G993" s="168"/>
      <c r="H993" s="167"/>
      <c r="I993" s="168"/>
    </row>
    <row r="994" spans="1:9" ht="15" customHeight="1">
      <c r="A994" s="167"/>
      <c r="B994" s="167"/>
      <c r="C994" s="167"/>
      <c r="D994" s="167"/>
      <c r="E994" s="167"/>
      <c r="F994" s="167"/>
      <c r="G994" s="168"/>
      <c r="H994" s="167"/>
      <c r="I994" s="168"/>
    </row>
    <row r="995" spans="1:9" ht="15" customHeight="1">
      <c r="A995" s="167"/>
      <c r="B995" s="167"/>
      <c r="C995" s="167"/>
      <c r="D995" s="167"/>
      <c r="E995" s="167"/>
      <c r="F995" s="167"/>
      <c r="G995" s="168"/>
      <c r="H995" s="167"/>
      <c r="I995" s="168"/>
    </row>
    <row r="996" spans="1:9" ht="15" customHeight="1">
      <c r="A996" s="167"/>
      <c r="B996" s="167"/>
      <c r="C996" s="167"/>
      <c r="D996" s="167"/>
      <c r="E996" s="167"/>
      <c r="F996" s="167"/>
      <c r="G996" s="168"/>
      <c r="H996" s="167"/>
      <c r="I996" s="168"/>
    </row>
    <row r="997" spans="1:9" ht="15" customHeight="1">
      <c r="A997" s="167"/>
      <c r="B997" s="167"/>
      <c r="C997" s="167"/>
      <c r="D997" s="167"/>
      <c r="E997" s="167"/>
      <c r="F997" s="167"/>
      <c r="G997" s="168"/>
      <c r="H997" s="167"/>
      <c r="I997" s="168"/>
    </row>
    <row r="998" spans="1:9" ht="15" customHeight="1">
      <c r="A998" s="167"/>
      <c r="B998" s="167"/>
      <c r="C998" s="167"/>
      <c r="D998" s="167"/>
      <c r="E998" s="167"/>
      <c r="F998" s="167"/>
      <c r="G998" s="168"/>
      <c r="H998" s="167"/>
      <c r="I998" s="168"/>
    </row>
    <row r="999" spans="1:9" ht="15" customHeight="1">
      <c r="A999" s="167"/>
      <c r="B999" s="167"/>
      <c r="C999" s="167"/>
      <c r="D999" s="167"/>
      <c r="E999" s="167"/>
      <c r="F999" s="167"/>
      <c r="G999" s="168"/>
      <c r="H999" s="167"/>
      <c r="I999" s="168"/>
    </row>
    <row r="1000" spans="1:9" ht="15" customHeight="1">
      <c r="A1000" s="167"/>
      <c r="B1000" s="167"/>
      <c r="C1000" s="167"/>
      <c r="D1000" s="167"/>
      <c r="E1000" s="167"/>
      <c r="F1000" s="167"/>
      <c r="G1000" s="168"/>
      <c r="H1000" s="167"/>
      <c r="I1000" s="168"/>
    </row>
    <row r="1001" spans="1:9" ht="15" customHeight="1">
      <c r="A1001" s="167"/>
      <c r="B1001" s="167"/>
      <c r="C1001" s="167"/>
      <c r="D1001" s="167"/>
      <c r="E1001" s="167"/>
      <c r="F1001" s="167"/>
      <c r="G1001" s="168"/>
      <c r="H1001" s="167"/>
      <c r="I1001" s="168"/>
    </row>
    <row r="1002" spans="1:9" ht="15" customHeight="1">
      <c r="A1002" s="167"/>
      <c r="B1002" s="167"/>
      <c r="C1002" s="167"/>
      <c r="D1002" s="167"/>
      <c r="E1002" s="167"/>
      <c r="F1002" s="167"/>
      <c r="G1002" s="168"/>
      <c r="H1002" s="167"/>
      <c r="I1002" s="168"/>
    </row>
    <row r="1003" spans="1:9" ht="15" customHeight="1">
      <c r="A1003" s="167"/>
      <c r="B1003" s="167"/>
      <c r="C1003" s="167"/>
      <c r="D1003" s="167"/>
      <c r="E1003" s="167"/>
      <c r="F1003" s="167"/>
      <c r="G1003" s="168"/>
      <c r="H1003" s="167"/>
      <c r="I1003" s="168"/>
    </row>
    <row r="1004" spans="1:9" ht="15" customHeight="1">
      <c r="A1004" s="167"/>
      <c r="B1004" s="167"/>
      <c r="C1004" s="167"/>
      <c r="D1004" s="167"/>
      <c r="E1004" s="167"/>
      <c r="F1004" s="167"/>
      <c r="G1004" s="168"/>
      <c r="H1004" s="167"/>
      <c r="I1004" s="168"/>
    </row>
    <row r="1005" spans="1:9" ht="15" customHeight="1">
      <c r="A1005" s="167"/>
      <c r="B1005" s="167"/>
      <c r="C1005" s="167"/>
      <c r="D1005" s="167"/>
      <c r="E1005" s="167"/>
      <c r="F1005" s="167"/>
      <c r="G1005" s="168"/>
      <c r="H1005" s="167"/>
      <c r="I1005" s="168"/>
    </row>
    <row r="1006" spans="1:9" ht="15" customHeight="1">
      <c r="A1006" s="167"/>
      <c r="B1006" s="167"/>
      <c r="C1006" s="167"/>
      <c r="D1006" s="167"/>
      <c r="E1006" s="167"/>
      <c r="F1006" s="167"/>
      <c r="G1006" s="168"/>
      <c r="H1006" s="167"/>
      <c r="I1006" s="168"/>
    </row>
    <row r="1007" spans="1:9" ht="15" customHeight="1">
      <c r="A1007" s="167"/>
      <c r="B1007" s="167"/>
      <c r="C1007" s="167"/>
      <c r="D1007" s="167"/>
      <c r="E1007" s="167"/>
      <c r="F1007" s="167"/>
      <c r="G1007" s="168"/>
      <c r="H1007" s="167"/>
      <c r="I1007" s="168"/>
    </row>
    <row r="1008" spans="1:9" ht="15" customHeight="1">
      <c r="A1008" s="167"/>
      <c r="B1008" s="167"/>
      <c r="C1008" s="167"/>
      <c r="D1008" s="167"/>
      <c r="E1008" s="167"/>
      <c r="F1008" s="167"/>
      <c r="G1008" s="168"/>
      <c r="H1008" s="167"/>
      <c r="I1008" s="168"/>
    </row>
    <row r="1009" spans="1:9" ht="15" customHeight="1">
      <c r="A1009" s="167"/>
      <c r="B1009" s="167"/>
      <c r="C1009" s="167"/>
      <c r="D1009" s="167"/>
      <c r="E1009" s="167"/>
      <c r="F1009" s="167"/>
      <c r="G1009" s="168"/>
      <c r="H1009" s="167"/>
      <c r="I1009" s="168"/>
    </row>
    <row r="1010" spans="1:9" ht="15" customHeight="1">
      <c r="A1010" s="167"/>
      <c r="B1010" s="167"/>
      <c r="C1010" s="167"/>
      <c r="D1010" s="167"/>
      <c r="E1010" s="167"/>
      <c r="F1010" s="167"/>
      <c r="G1010" s="168"/>
      <c r="H1010" s="167"/>
      <c r="I1010" s="168"/>
    </row>
    <row r="1011" spans="1:9" ht="15" customHeight="1">
      <c r="A1011" s="167"/>
      <c r="B1011" s="167"/>
      <c r="C1011" s="167"/>
      <c r="D1011" s="167"/>
      <c r="E1011" s="167"/>
      <c r="F1011" s="167"/>
      <c r="G1011" s="168"/>
      <c r="H1011" s="167"/>
      <c r="I1011" s="168"/>
    </row>
    <row r="1012" spans="1:9" ht="15" customHeight="1">
      <c r="A1012" s="167" t="s">
        <v>78</v>
      </c>
      <c r="B1012" s="167"/>
      <c r="C1012" s="167"/>
      <c r="D1012" s="167"/>
      <c r="E1012" s="167"/>
      <c r="F1012" s="167"/>
      <c r="G1012" s="168"/>
      <c r="H1012" s="167"/>
      <c r="I1012" s="168"/>
    </row>
    <row r="1013" spans="1:9" ht="15" customHeight="1">
      <c r="A1013" s="164" t="s">
        <v>111</v>
      </c>
      <c r="B1013" s="178"/>
      <c r="C1013" s="178"/>
      <c r="D1013" s="178"/>
      <c r="E1013" s="178"/>
      <c r="F1013" s="178"/>
      <c r="G1013" s="179"/>
      <c r="H1013" s="206">
        <f>H909</f>
        <v>270</v>
      </c>
      <c r="I1013" s="181" t="s">
        <v>37</v>
      </c>
    </row>
    <row r="1014" spans="1:9" ht="15" customHeight="1">
      <c r="A1014" s="165" t="s">
        <v>206</v>
      </c>
      <c r="B1014" s="182"/>
      <c r="C1014" s="182" t="s">
        <v>80</v>
      </c>
      <c r="D1014" s="182"/>
      <c r="E1014" s="182"/>
      <c r="F1014" s="182"/>
      <c r="G1014" s="183"/>
      <c r="H1014" s="207">
        <f>H1013*1.3415</f>
        <v>362.20499999999998</v>
      </c>
      <c r="I1014" s="185" t="s">
        <v>81</v>
      </c>
    </row>
    <row r="1015" spans="1:9" ht="15" customHeight="1">
      <c r="A1015" s="165"/>
      <c r="B1015" s="182"/>
      <c r="C1015" s="182"/>
      <c r="D1015" s="182"/>
      <c r="E1015" s="182"/>
      <c r="F1015" s="182"/>
      <c r="G1015" s="183"/>
      <c r="H1015" s="184"/>
      <c r="I1015" s="185"/>
    </row>
    <row r="1016" spans="1:9" ht="15" customHeight="1">
      <c r="A1016" s="165" t="s">
        <v>83</v>
      </c>
      <c r="B1016" s="182"/>
      <c r="C1016" s="182"/>
      <c r="D1016" s="182"/>
      <c r="E1016" s="182"/>
      <c r="F1016" s="182"/>
      <c r="G1016" s="183"/>
      <c r="H1016" s="208">
        <f>H1014*0.182*(4+10.5+0.6)</f>
        <v>995.41178099999979</v>
      </c>
      <c r="I1016" s="185" t="s">
        <v>82</v>
      </c>
    </row>
    <row r="1017" spans="1:9" ht="15" customHeight="1">
      <c r="A1017" s="165"/>
      <c r="B1017" s="182"/>
      <c r="C1017" s="182"/>
      <c r="D1017" s="182"/>
      <c r="E1017" s="182"/>
      <c r="F1017" s="182"/>
      <c r="G1017" s="183"/>
      <c r="H1017" s="184"/>
      <c r="I1017" s="185"/>
    </row>
    <row r="1018" spans="1:9" ht="15" customHeight="1">
      <c r="A1018" s="165" t="s">
        <v>84</v>
      </c>
      <c r="B1018" s="182"/>
      <c r="C1018" s="182"/>
      <c r="D1018" s="182"/>
      <c r="E1018" s="182"/>
      <c r="F1018" s="182"/>
      <c r="G1018" s="183"/>
      <c r="H1018" s="43">
        <f>H1016*30</f>
        <v>29862.353429999996</v>
      </c>
      <c r="I1018" s="32" t="s">
        <v>85</v>
      </c>
    </row>
    <row r="1019" spans="1:9" ht="15" customHeight="1">
      <c r="A1019" s="165"/>
      <c r="B1019" s="182"/>
      <c r="C1019" s="182"/>
      <c r="D1019" s="182"/>
      <c r="E1019" s="182"/>
      <c r="F1019" s="182"/>
      <c r="G1019" s="183"/>
      <c r="H1019" s="184"/>
      <c r="I1019" s="185"/>
    </row>
    <row r="1020" spans="1:9" ht="15" customHeight="1">
      <c r="A1020" s="165" t="s">
        <v>86</v>
      </c>
      <c r="B1020" s="182"/>
      <c r="C1020" s="182"/>
      <c r="D1020" s="182" t="s">
        <v>178</v>
      </c>
      <c r="E1020" s="182"/>
      <c r="F1020" s="182"/>
      <c r="G1020" s="183"/>
      <c r="H1020" s="209">
        <f>H913</f>
        <v>2.56</v>
      </c>
      <c r="I1020" s="185" t="s">
        <v>23</v>
      </c>
    </row>
    <row r="1021" spans="1:9" ht="15" customHeight="1">
      <c r="A1021" s="165"/>
      <c r="B1021" s="182"/>
      <c r="C1021" s="182"/>
      <c r="D1021" s="182"/>
      <c r="E1021" s="182"/>
      <c r="F1021" s="182"/>
      <c r="G1021" s="183"/>
      <c r="H1021" s="209"/>
      <c r="I1021" s="185"/>
    </row>
    <row r="1022" spans="1:9" ht="15" customHeight="1">
      <c r="A1022" s="165" t="s">
        <v>87</v>
      </c>
      <c r="B1022" s="182"/>
      <c r="C1022" s="182"/>
      <c r="D1022" s="182"/>
      <c r="E1022" s="182"/>
      <c r="G1022" s="183"/>
      <c r="H1022" s="43">
        <f>H1018*H1020</f>
        <v>76447.62478079999</v>
      </c>
      <c r="I1022" s="32" t="s">
        <v>26</v>
      </c>
    </row>
    <row r="1023" spans="1:9" ht="15" customHeight="1">
      <c r="A1023" s="166"/>
      <c r="B1023" s="192"/>
      <c r="C1023" s="192"/>
      <c r="D1023" s="192"/>
      <c r="E1023" s="192"/>
      <c r="F1023" s="192"/>
      <c r="G1023" s="193"/>
      <c r="H1023" s="30"/>
      <c r="I1023" s="31"/>
    </row>
    <row r="1024" spans="1:9" ht="15" customHeight="1">
      <c r="A1024" s="167"/>
      <c r="B1024" s="167"/>
      <c r="C1024" s="167"/>
      <c r="D1024" s="167"/>
      <c r="E1024" s="167"/>
      <c r="F1024" s="167"/>
      <c r="G1024" s="168"/>
      <c r="H1024" s="167"/>
      <c r="I1024" s="168"/>
    </row>
    <row r="1025" spans="1:9" ht="15" customHeight="1">
      <c r="A1025" s="167"/>
      <c r="B1025" s="167"/>
      <c r="C1025" s="167"/>
      <c r="D1025" s="167"/>
      <c r="E1025" s="167"/>
      <c r="F1025" s="167"/>
      <c r="G1025" s="168"/>
      <c r="H1025" s="167"/>
      <c r="I1025" s="168"/>
    </row>
    <row r="1026" spans="1:9" ht="15" customHeight="1"/>
    <row r="1027" spans="1:9" ht="15" customHeight="1">
      <c r="A1027" s="48"/>
      <c r="B1027" s="48"/>
      <c r="C1027" s="48"/>
      <c r="D1027" s="48"/>
      <c r="E1027" s="48"/>
      <c r="F1027" s="48"/>
      <c r="G1027" s="71"/>
      <c r="H1027" s="48"/>
      <c r="I1027" s="71"/>
    </row>
    <row r="1028" spans="1:9" ht="15" customHeight="1">
      <c r="A1028" s="57"/>
      <c r="B1028" s="57"/>
      <c r="C1028" s="57"/>
      <c r="D1028" s="57"/>
      <c r="E1028" s="57"/>
      <c r="F1028" s="57"/>
      <c r="G1028" s="72"/>
      <c r="H1028" s="57"/>
      <c r="I1028" s="72"/>
    </row>
    <row r="1029" spans="1:9" ht="15" customHeight="1">
      <c r="A1029" s="57"/>
      <c r="B1029" s="57"/>
      <c r="C1029" s="57"/>
      <c r="D1029" s="57"/>
      <c r="E1029" s="57"/>
      <c r="F1029" s="57"/>
      <c r="G1029" s="72"/>
      <c r="H1029" s="57"/>
      <c r="I1029" s="72"/>
    </row>
    <row r="1030" spans="1:9" ht="15" customHeight="1">
      <c r="A1030" s="50"/>
      <c r="B1030" s="50"/>
      <c r="C1030" s="50"/>
      <c r="D1030" s="50"/>
      <c r="E1030" s="50"/>
      <c r="F1030" s="50"/>
      <c r="G1030" s="50"/>
      <c r="H1030" s="50"/>
      <c r="I1030" s="50"/>
    </row>
    <row r="1031" spans="1:9" ht="15" customHeight="1">
      <c r="A1031" s="51"/>
      <c r="B1031" s="51"/>
      <c r="C1031" s="51"/>
      <c r="D1031" s="51"/>
      <c r="E1031" s="51"/>
      <c r="F1031" s="51"/>
      <c r="G1031" s="51"/>
      <c r="H1031" s="51"/>
      <c r="I1031" s="51"/>
    </row>
    <row r="1032" spans="1:9" ht="15" customHeight="1">
      <c r="A1032" s="49"/>
      <c r="B1032" s="48"/>
      <c r="C1032" s="48"/>
      <c r="D1032" s="48"/>
      <c r="E1032" s="48"/>
      <c r="F1032" s="48"/>
      <c r="G1032" s="71"/>
      <c r="H1032" s="48"/>
      <c r="I1032" s="71"/>
    </row>
    <row r="1033" spans="1:9" ht="15" customHeight="1">
      <c r="A1033" s="53"/>
      <c r="B1033" s="54"/>
      <c r="C1033" s="54"/>
      <c r="D1033" s="54"/>
      <c r="E1033" s="54"/>
      <c r="F1033" s="54"/>
      <c r="G1033" s="54"/>
      <c r="H1033" s="52"/>
      <c r="I1033" s="52"/>
    </row>
    <row r="1034" spans="1:9" ht="15" customHeight="1">
      <c r="A1034" s="101"/>
      <c r="B1034" s="85"/>
      <c r="C1034" s="85"/>
      <c r="D1034" s="85"/>
      <c r="E1034" s="85"/>
      <c r="F1034" s="85"/>
      <c r="G1034" s="85"/>
      <c r="H1034" s="102"/>
      <c r="I1034" s="102"/>
    </row>
    <row r="1035" spans="1:9" ht="15" customHeight="1">
      <c r="A1035" s="93"/>
      <c r="B1035" s="93"/>
      <c r="C1035" s="93"/>
      <c r="D1035" s="93"/>
      <c r="E1035" s="93"/>
      <c r="F1035" s="93"/>
      <c r="G1035" s="94"/>
      <c r="H1035" s="93"/>
      <c r="I1035" s="94"/>
    </row>
    <row r="1036" spans="1:9" ht="15" customHeight="1">
      <c r="A1036" s="738" t="s">
        <v>216</v>
      </c>
      <c r="B1036" s="738"/>
      <c r="C1036" s="738"/>
      <c r="D1036" s="738"/>
      <c r="E1036" s="738"/>
      <c r="F1036" s="738"/>
      <c r="G1036" s="738"/>
      <c r="H1036" s="738"/>
      <c r="I1036" s="738"/>
    </row>
    <row r="1037" spans="1:9" ht="15" customHeight="1">
      <c r="A1037" s="255"/>
      <c r="B1037" s="255"/>
      <c r="C1037" s="255"/>
      <c r="D1037" s="255"/>
      <c r="E1037" s="255"/>
      <c r="F1037" s="255"/>
      <c r="G1037" s="255"/>
      <c r="H1037" s="255"/>
      <c r="I1037" s="255"/>
    </row>
    <row r="1038" spans="1:9" ht="15" customHeight="1">
      <c r="A1038" s="47" t="s">
        <v>120</v>
      </c>
      <c r="B1038" s="47"/>
      <c r="C1038" s="47"/>
      <c r="D1038" s="47"/>
      <c r="E1038" s="255"/>
      <c r="F1038" s="255"/>
      <c r="G1038" s="255"/>
      <c r="H1038" s="255"/>
      <c r="I1038" s="255"/>
    </row>
    <row r="1039" spans="1:9" ht="15" customHeight="1">
      <c r="A1039" s="47" t="s">
        <v>142</v>
      </c>
      <c r="B1039" s="255"/>
      <c r="C1039" s="255"/>
      <c r="D1039" s="255"/>
      <c r="E1039" s="255"/>
      <c r="F1039" s="255"/>
      <c r="G1039" s="255"/>
      <c r="H1039" s="255"/>
      <c r="I1039" s="255"/>
    </row>
    <row r="1040" spans="1:9" ht="15" customHeight="1">
      <c r="A1040" s="174" t="s">
        <v>144</v>
      </c>
      <c r="B1040" s="47"/>
      <c r="C1040" s="47"/>
      <c r="D1040" s="47"/>
      <c r="E1040" s="47"/>
      <c r="F1040" s="47"/>
      <c r="G1040" s="47"/>
      <c r="H1040" s="47"/>
      <c r="I1040" s="47"/>
    </row>
    <row r="1041" spans="1:9" ht="15" customHeight="1">
      <c r="A1041" s="174" t="s">
        <v>145</v>
      </c>
      <c r="B1041" s="174"/>
      <c r="C1041" s="174"/>
      <c r="D1041" s="174"/>
      <c r="E1041" s="174"/>
      <c r="F1041" s="174"/>
      <c r="G1041" s="210">
        <f>0.00026*30</f>
        <v>7.7999999999999996E-3</v>
      </c>
      <c r="H1041" s="174"/>
      <c r="I1041" s="174"/>
    </row>
    <row r="1042" spans="1:9" ht="15" customHeight="1">
      <c r="A1042" s="47" t="s">
        <v>146</v>
      </c>
      <c r="B1042" s="47"/>
      <c r="C1042" s="174"/>
      <c r="D1042" s="174"/>
      <c r="E1042" s="174"/>
      <c r="F1042" s="174"/>
      <c r="G1042" s="174"/>
      <c r="H1042" s="174"/>
      <c r="I1042" s="174"/>
    </row>
    <row r="1043" spans="1:9" ht="15" customHeight="1">
      <c r="A1043" s="174" t="s">
        <v>147</v>
      </c>
      <c r="B1043" s="47"/>
      <c r="C1043" s="47"/>
      <c r="D1043" s="47"/>
      <c r="E1043" s="47"/>
      <c r="F1043" s="47"/>
      <c r="G1043" s="47"/>
      <c r="H1043" s="47"/>
      <c r="I1043" s="174"/>
    </row>
    <row r="1044" spans="1:9" ht="15" customHeight="1">
      <c r="A1044" s="174" t="s">
        <v>145</v>
      </c>
      <c r="B1044" s="174"/>
      <c r="C1044" s="174"/>
      <c r="D1044" s="174"/>
      <c r="E1044" s="174"/>
      <c r="F1044" s="174"/>
      <c r="G1044" s="210">
        <f>0.00013*30</f>
        <v>3.8999999999999998E-3</v>
      </c>
      <c r="H1044" s="174"/>
      <c r="I1044" s="174"/>
    </row>
    <row r="1045" spans="1:9" ht="15" customHeight="1">
      <c r="A1045" s="47" t="s">
        <v>148</v>
      </c>
      <c r="B1045" s="174"/>
      <c r="C1045" s="174"/>
      <c r="D1045" s="174"/>
      <c r="E1045" s="174"/>
      <c r="F1045" s="174"/>
      <c r="G1045" s="174"/>
      <c r="H1045" s="174"/>
      <c r="I1045" s="174"/>
    </row>
    <row r="1046" spans="1:9" ht="15" customHeight="1">
      <c r="A1046" s="174" t="s">
        <v>207</v>
      </c>
      <c r="B1046" s="174"/>
      <c r="C1046" s="174"/>
      <c r="D1046" s="174"/>
      <c r="E1046" s="174"/>
      <c r="F1046" s="174"/>
      <c r="G1046" s="174"/>
      <c r="H1046" s="174"/>
      <c r="I1046" s="174"/>
    </row>
    <row r="1047" spans="1:9" ht="15" customHeight="1">
      <c r="A1047" s="174" t="s">
        <v>150</v>
      </c>
      <c r="B1047" s="174"/>
      <c r="C1047" s="174"/>
      <c r="D1047" s="174"/>
      <c r="E1047" s="174"/>
      <c r="F1047" s="174"/>
      <c r="G1047" s="211">
        <f>0.025/12</f>
        <v>2.0833333333333333E-3</v>
      </c>
      <c r="H1047" s="174"/>
      <c r="I1047" s="174"/>
    </row>
    <row r="1048" spans="1:9" ht="15" customHeight="1">
      <c r="A1048" s="47" t="s">
        <v>151</v>
      </c>
      <c r="B1048" s="174"/>
      <c r="C1048" s="174"/>
      <c r="D1048" s="174"/>
      <c r="E1048" s="174"/>
      <c r="F1048" s="174"/>
      <c r="G1048" s="174"/>
      <c r="H1048" s="174"/>
      <c r="I1048" s="174"/>
    </row>
    <row r="1049" spans="1:9" ht="15" customHeight="1">
      <c r="A1049" s="174" t="s">
        <v>152</v>
      </c>
      <c r="B1049" s="174"/>
      <c r="C1049" s="174"/>
      <c r="D1049" s="174"/>
      <c r="E1049" s="174"/>
      <c r="F1049" s="174"/>
      <c r="G1049" s="174"/>
      <c r="H1049" s="174"/>
      <c r="I1049" s="174"/>
    </row>
    <row r="1050" spans="1:9" ht="15" customHeight="1">
      <c r="A1050" s="174" t="s">
        <v>153</v>
      </c>
      <c r="B1050" s="174"/>
      <c r="C1050" s="174"/>
      <c r="D1050" s="174"/>
      <c r="E1050" s="174"/>
      <c r="F1050" s="174"/>
      <c r="G1050" s="174">
        <v>4.4999999999999997E-3</v>
      </c>
      <c r="H1050" s="174" t="s">
        <v>154</v>
      </c>
      <c r="I1050" s="174"/>
    </row>
    <row r="1051" spans="1:9" ht="15" customHeight="1">
      <c r="A1051" s="47" t="s">
        <v>155</v>
      </c>
      <c r="B1051" s="174"/>
      <c r="C1051" s="174"/>
      <c r="D1051" s="174"/>
      <c r="E1051" s="174"/>
      <c r="F1051" s="174"/>
      <c r="G1051" s="174"/>
      <c r="H1051" s="174"/>
      <c r="I1051" s="174"/>
    </row>
    <row r="1052" spans="1:9" ht="15" customHeight="1">
      <c r="A1052" s="174" t="s">
        <v>386</v>
      </c>
      <c r="B1052" s="174"/>
      <c r="C1052" s="174"/>
      <c r="D1052" s="174"/>
      <c r="E1052" s="174"/>
      <c r="F1052" s="174"/>
      <c r="G1052" s="174"/>
      <c r="H1052" s="174"/>
      <c r="I1052" s="174"/>
    </row>
    <row r="1053" spans="1:9" ht="15" customHeight="1">
      <c r="A1053" s="244" t="s">
        <v>304</v>
      </c>
      <c r="B1053" s="47"/>
      <c r="C1053" s="174"/>
      <c r="D1053" s="174"/>
      <c r="E1053" s="174"/>
      <c r="F1053" s="174"/>
      <c r="G1053" s="174"/>
      <c r="H1053" s="174"/>
      <c r="I1053" s="174"/>
    </row>
    <row r="1054" spans="1:9" ht="15" customHeight="1">
      <c r="A1054" s="47" t="s">
        <v>156</v>
      </c>
      <c r="B1054" s="174"/>
      <c r="C1054" s="174"/>
      <c r="D1054" s="174"/>
      <c r="E1054" s="174"/>
      <c r="F1054" s="174"/>
      <c r="G1054" s="174"/>
      <c r="H1054" s="174"/>
      <c r="I1054" s="174"/>
    </row>
    <row r="1055" spans="1:9" ht="15" customHeight="1">
      <c r="A1055" s="174" t="s">
        <v>157</v>
      </c>
      <c r="B1055" s="174"/>
      <c r="C1055" s="174"/>
      <c r="D1055" s="174"/>
      <c r="E1055" s="174"/>
      <c r="F1055" s="174"/>
      <c r="G1055" s="174"/>
      <c r="H1055" s="174"/>
      <c r="I1055" s="174"/>
    </row>
    <row r="1056" spans="1:9" ht="15" customHeight="1">
      <c r="A1056" s="174" t="s">
        <v>158</v>
      </c>
    </row>
    <row r="1057" spans="1:9" ht="15" customHeight="1"/>
    <row r="1058" spans="1:9" ht="15" customHeight="1">
      <c r="A1058" s="33" t="s">
        <v>208</v>
      </c>
      <c r="B1058" s="34"/>
      <c r="C1058" s="34"/>
      <c r="D1058" s="34"/>
      <c r="E1058" s="34"/>
      <c r="F1058" s="34"/>
      <c r="G1058" s="169"/>
      <c r="H1058" s="36">
        <f>H903</f>
        <v>400</v>
      </c>
      <c r="I1058" s="118" t="s">
        <v>13</v>
      </c>
    </row>
    <row r="1059" spans="1:9" ht="15" customHeight="1">
      <c r="A1059" s="165" t="s">
        <v>209</v>
      </c>
      <c r="B1059" s="182"/>
      <c r="C1059" s="182"/>
      <c r="D1059" s="5"/>
      <c r="E1059" s="5"/>
      <c r="F1059" s="5"/>
      <c r="G1059" s="6"/>
      <c r="H1059" s="37">
        <f>H1013</f>
        <v>270</v>
      </c>
      <c r="I1059" s="185" t="s">
        <v>25</v>
      </c>
    </row>
    <row r="1060" spans="1:9" ht="15" customHeight="1">
      <c r="A1060" s="165" t="s">
        <v>210</v>
      </c>
      <c r="B1060" s="182"/>
      <c r="C1060" s="182"/>
      <c r="D1060" s="182"/>
      <c r="E1060" s="182"/>
      <c r="F1060" s="182"/>
      <c r="G1060" s="183"/>
      <c r="H1060" s="208">
        <f>H901</f>
        <v>1674400</v>
      </c>
      <c r="I1060" s="185" t="s">
        <v>21</v>
      </c>
    </row>
    <row r="1061" spans="1:9" ht="15" customHeight="1">
      <c r="A1061" s="165" t="s">
        <v>143</v>
      </c>
      <c r="B1061" s="182"/>
      <c r="C1061" s="182"/>
      <c r="D1061" s="182"/>
      <c r="E1061" s="182"/>
      <c r="F1061" s="182"/>
      <c r="G1061" s="183"/>
      <c r="H1061" s="209">
        <f>H897</f>
        <v>3.25</v>
      </c>
      <c r="I1061" s="185" t="s">
        <v>23</v>
      </c>
    </row>
    <row r="1062" spans="1:9" ht="15" customHeight="1">
      <c r="A1062" s="165" t="s">
        <v>22</v>
      </c>
      <c r="B1062" s="182"/>
      <c r="C1062" s="182"/>
      <c r="D1062" s="182"/>
      <c r="E1062" s="182"/>
      <c r="F1062" s="182"/>
      <c r="G1062" s="183"/>
      <c r="H1062" s="63">
        <f>H1060*H1061</f>
        <v>5441800</v>
      </c>
      <c r="I1062" s="185" t="s">
        <v>23</v>
      </c>
    </row>
    <row r="1063" spans="1:9" ht="15" customHeight="1">
      <c r="A1063" s="165" t="s">
        <v>141</v>
      </c>
      <c r="B1063" s="182"/>
      <c r="C1063" s="182"/>
      <c r="D1063" s="182"/>
      <c r="E1063" s="182"/>
      <c r="F1063" s="182"/>
      <c r="G1063" s="183"/>
      <c r="H1063" s="184"/>
      <c r="I1063" s="185"/>
    </row>
    <row r="1064" spans="1:9" ht="15" customHeight="1">
      <c r="A1064" s="165"/>
      <c r="B1064" s="213" t="s">
        <v>89</v>
      </c>
      <c r="C1064" s="765">
        <f>G1041</f>
        <v>7.7999999999999996E-3</v>
      </c>
      <c r="D1064" s="765"/>
      <c r="E1064" s="182"/>
      <c r="F1064" s="182"/>
      <c r="G1064" s="183"/>
      <c r="H1064" s="215">
        <f>H1062*C1064</f>
        <v>42446.04</v>
      </c>
      <c r="I1064" s="185" t="s">
        <v>26</v>
      </c>
    </row>
    <row r="1065" spans="1:9" ht="15" customHeight="1">
      <c r="A1065" s="165" t="s">
        <v>90</v>
      </c>
      <c r="B1065" s="182"/>
      <c r="C1065" s="182"/>
      <c r="E1065" s="182"/>
      <c r="F1065" s="182"/>
      <c r="G1065" s="183"/>
      <c r="H1065" s="38"/>
      <c r="I1065" s="185"/>
    </row>
    <row r="1066" spans="1:9" ht="15" customHeight="1">
      <c r="A1066" s="165"/>
      <c r="B1066" s="216" t="s">
        <v>89</v>
      </c>
      <c r="C1066" s="765">
        <f>G1044</f>
        <v>3.8999999999999998E-3</v>
      </c>
      <c r="D1066" s="765"/>
      <c r="E1066" s="182"/>
      <c r="F1066" s="182"/>
      <c r="G1066" s="183"/>
      <c r="H1066" s="63">
        <f>H1062*C1066</f>
        <v>21223.02</v>
      </c>
      <c r="I1066" s="185" t="s">
        <v>26</v>
      </c>
    </row>
    <row r="1067" spans="1:9" ht="15" customHeight="1">
      <c r="A1067" s="165" t="s">
        <v>27</v>
      </c>
      <c r="B1067" s="182"/>
      <c r="C1067" s="182"/>
      <c r="D1067" s="182"/>
      <c r="E1067" s="182"/>
      <c r="F1067" s="182"/>
      <c r="G1067" s="183"/>
      <c r="H1067" s="184"/>
      <c r="I1067" s="185"/>
    </row>
    <row r="1068" spans="1:9" ht="15" customHeight="1">
      <c r="A1068" s="165"/>
      <c r="B1068" s="216" t="s">
        <v>89</v>
      </c>
      <c r="C1068" s="765">
        <f>G1047</f>
        <v>2.0833333333333333E-3</v>
      </c>
      <c r="D1068" s="765"/>
      <c r="E1068" s="182"/>
      <c r="F1068" s="182"/>
      <c r="G1068" s="183"/>
      <c r="H1068" s="63">
        <f>H1062*C1068</f>
        <v>11337.083333333334</v>
      </c>
      <c r="I1068" s="185" t="s">
        <v>26</v>
      </c>
    </row>
    <row r="1069" spans="1:9" ht="15" customHeight="1">
      <c r="A1069" s="165" t="s">
        <v>91</v>
      </c>
      <c r="B1069" s="182"/>
      <c r="C1069" s="182"/>
      <c r="D1069" s="182"/>
      <c r="E1069" s="182"/>
      <c r="F1069" s="182"/>
      <c r="G1069" s="183"/>
      <c r="H1069" s="38"/>
      <c r="I1069" s="39"/>
    </row>
    <row r="1070" spans="1:9" ht="15" customHeight="1">
      <c r="A1070" s="165"/>
      <c r="B1070" s="216" t="s">
        <v>89</v>
      </c>
      <c r="C1070" s="764">
        <f>G1050</f>
        <v>4.4999999999999997E-3</v>
      </c>
      <c r="D1070" s="764"/>
      <c r="E1070" s="182"/>
      <c r="F1070" s="182"/>
      <c r="G1070" s="183"/>
      <c r="H1070" s="63">
        <f>C1070*H1062</f>
        <v>24488.1</v>
      </c>
      <c r="I1070" s="185" t="s">
        <v>26</v>
      </c>
    </row>
    <row r="1071" spans="1:9" ht="15" customHeight="1">
      <c r="A1071" s="165" t="s">
        <v>28</v>
      </c>
      <c r="B1071" s="182"/>
      <c r="C1071" s="182"/>
      <c r="D1071" s="182"/>
      <c r="E1071" s="182"/>
      <c r="F1071" s="182"/>
      <c r="G1071" s="183"/>
      <c r="H1071" s="38"/>
      <c r="I1071" s="185"/>
    </row>
    <row r="1072" spans="1:9" ht="15" customHeight="1">
      <c r="A1072" s="216" t="s">
        <v>113</v>
      </c>
      <c r="B1072" s="217">
        <v>25</v>
      </c>
      <c r="C1072" s="182"/>
      <c r="D1072" s="182"/>
      <c r="E1072" s="182"/>
      <c r="F1072" s="214"/>
      <c r="G1072" s="35"/>
      <c r="H1072" s="63">
        <f>H1062/(12*B1072)</f>
        <v>18139.333333333332</v>
      </c>
      <c r="I1072" s="185" t="s">
        <v>26</v>
      </c>
    </row>
    <row r="1073" spans="1:9" ht="15" customHeight="1">
      <c r="A1073" s="165" t="s">
        <v>92</v>
      </c>
      <c r="B1073" s="182"/>
      <c r="C1073" s="182"/>
      <c r="D1073" s="182"/>
      <c r="E1073" s="182"/>
      <c r="F1073" s="182"/>
      <c r="G1073" s="183"/>
      <c r="H1073" s="215">
        <f>H1022</f>
        <v>76447.62478079999</v>
      </c>
      <c r="I1073" s="185" t="s">
        <v>26</v>
      </c>
    </row>
    <row r="1074" spans="1:9" ht="15" customHeight="1">
      <c r="A1074" s="165" t="s">
        <v>96</v>
      </c>
      <c r="B1074" s="182"/>
      <c r="C1074" s="182"/>
      <c r="D1074" s="182"/>
      <c r="E1074" s="182"/>
      <c r="F1074" s="182"/>
      <c r="G1074" s="183"/>
      <c r="H1074" s="207"/>
      <c r="I1074" s="185"/>
    </row>
    <row r="1075" spans="1:9" ht="15" customHeight="1">
      <c r="A1075" s="216" t="s">
        <v>272</v>
      </c>
      <c r="B1075" s="218">
        <v>0.1</v>
      </c>
      <c r="C1075" s="182" t="s">
        <v>273</v>
      </c>
      <c r="D1075" s="182"/>
      <c r="E1075" s="182"/>
      <c r="F1075" s="214"/>
      <c r="G1075" s="183"/>
      <c r="H1075" s="215">
        <f>H1073*B1075</f>
        <v>7644.7624780799997</v>
      </c>
      <c r="I1075" s="185" t="s">
        <v>26</v>
      </c>
    </row>
    <row r="1076" spans="1:9" ht="15" customHeight="1">
      <c r="A1076" s="165" t="s">
        <v>41</v>
      </c>
      <c r="B1076" s="182"/>
      <c r="C1076" s="182"/>
      <c r="D1076" s="182"/>
      <c r="E1076" s="182"/>
      <c r="F1076" s="182"/>
      <c r="G1076" s="183"/>
      <c r="H1076" s="335">
        <f>H951</f>
        <v>60645.715199999999</v>
      </c>
      <c r="I1076" s="185" t="s">
        <v>26</v>
      </c>
    </row>
    <row r="1077" spans="1:9" ht="15" customHeight="1">
      <c r="A1077" s="165"/>
      <c r="B1077" s="182"/>
      <c r="C1077" s="182"/>
      <c r="D1077" s="182"/>
      <c r="E1077" s="182"/>
      <c r="F1077" s="182"/>
      <c r="G1077" s="183"/>
      <c r="H1077" s="184"/>
      <c r="I1077" s="185"/>
    </row>
    <row r="1078" spans="1:9" ht="15" customHeight="1">
      <c r="A1078" s="4" t="s">
        <v>93</v>
      </c>
      <c r="B1078" s="5"/>
      <c r="C1078" s="5"/>
      <c r="D1078" s="5"/>
      <c r="E1078" s="5"/>
      <c r="F1078" s="5"/>
      <c r="G1078" s="6"/>
      <c r="H1078" s="43">
        <f>SUM(H1064,H1066,H1068,H1070,H1072,H1073,H1075,H1076)</f>
        <v>262371.67912554659</v>
      </c>
      <c r="I1078" s="32" t="s">
        <v>26</v>
      </c>
    </row>
    <row r="1079" spans="1:9" ht="15" customHeight="1">
      <c r="A1079" s="166"/>
      <c r="B1079" s="192"/>
      <c r="C1079" s="192"/>
      <c r="D1079" s="192"/>
      <c r="E1079" s="192"/>
      <c r="F1079" s="192"/>
      <c r="G1079" s="193"/>
      <c r="H1079" s="219"/>
      <c r="I1079" s="195"/>
    </row>
    <row r="1080" spans="1:9" ht="15" customHeight="1">
      <c r="A1080" s="174"/>
      <c r="B1080" s="174"/>
      <c r="C1080" s="174"/>
      <c r="D1080" s="174"/>
      <c r="E1080" s="174"/>
      <c r="F1080" s="174"/>
      <c r="G1080" s="174"/>
      <c r="H1080" s="174"/>
      <c r="I1080" s="174"/>
    </row>
    <row r="1081" spans="1:9" ht="15" customHeight="1">
      <c r="A1081" s="174"/>
      <c r="B1081" s="174"/>
      <c r="C1081" s="174"/>
      <c r="D1081" s="174"/>
      <c r="E1081" s="174"/>
      <c r="F1081" s="174"/>
      <c r="G1081" s="174"/>
      <c r="H1081" s="174"/>
      <c r="I1081" s="174"/>
    </row>
    <row r="1082" spans="1:9" ht="15" customHeight="1"/>
    <row r="1083" spans="1:9" ht="15" customHeight="1"/>
    <row r="1084" spans="1:9" ht="15" customHeight="1">
      <c r="A1084" s="101"/>
      <c r="B1084" s="85"/>
      <c r="C1084" s="85"/>
      <c r="D1084" s="85"/>
      <c r="E1084" s="85"/>
      <c r="F1084" s="85"/>
      <c r="G1084" s="85"/>
      <c r="H1084" s="102"/>
      <c r="I1084" s="102"/>
    </row>
    <row r="1085" spans="1:9" ht="15" customHeight="1">
      <c r="A1085" s="178"/>
      <c r="B1085" s="178"/>
      <c r="C1085" s="178"/>
      <c r="D1085" s="178"/>
      <c r="E1085" s="178"/>
      <c r="F1085" s="178"/>
      <c r="G1085" s="177"/>
      <c r="H1085" s="178"/>
      <c r="I1085" s="177"/>
    </row>
    <row r="1086" spans="1:9" ht="15" customHeight="1">
      <c r="A1086" s="718" t="s">
        <v>218</v>
      </c>
      <c r="B1086" s="719"/>
      <c r="C1086" s="719"/>
      <c r="D1086" s="719"/>
      <c r="E1086" s="719"/>
      <c r="F1086" s="719"/>
      <c r="G1086" s="719"/>
      <c r="H1086" s="719"/>
      <c r="I1086" s="719"/>
    </row>
    <row r="1087" spans="1:9" ht="15" customHeight="1"/>
    <row r="1088" spans="1:9" ht="15" customHeight="1">
      <c r="A1088" s="167" t="s">
        <v>219</v>
      </c>
      <c r="B1088" s="167"/>
      <c r="C1088" s="167"/>
      <c r="D1088" s="167"/>
      <c r="E1088" s="167"/>
      <c r="F1088" s="167"/>
      <c r="G1088" s="168"/>
      <c r="H1088" s="167"/>
      <c r="I1088" s="168"/>
    </row>
    <row r="1089" spans="1:9" ht="15" customHeight="1">
      <c r="A1089" s="167" t="s">
        <v>220</v>
      </c>
      <c r="B1089" s="167"/>
      <c r="C1089" s="167"/>
      <c r="D1089" s="167"/>
      <c r="E1089" s="167"/>
      <c r="F1089" s="167"/>
      <c r="G1089" s="168"/>
      <c r="H1089" s="167"/>
      <c r="I1089" s="168"/>
    </row>
    <row r="1090" spans="1:9" ht="15" customHeight="1">
      <c r="A1090" s="167"/>
      <c r="B1090" s="167"/>
      <c r="C1090" s="167"/>
      <c r="D1090" s="167"/>
      <c r="E1090" s="167"/>
      <c r="F1090" s="167"/>
      <c r="G1090" s="168"/>
      <c r="H1090" s="167"/>
      <c r="I1090" s="168"/>
    </row>
    <row r="1091" spans="1:9" ht="15" customHeight="1">
      <c r="A1091" s="60" t="s">
        <v>221</v>
      </c>
      <c r="B1091" s="60"/>
      <c r="C1091" s="60"/>
      <c r="D1091" s="60"/>
      <c r="E1091" s="224"/>
      <c r="F1091" s="224"/>
      <c r="G1091" s="225" t="s">
        <v>188</v>
      </c>
      <c r="H1091" s="224"/>
      <c r="I1091" s="225"/>
    </row>
    <row r="1092" spans="1:9" ht="15" customHeight="1">
      <c r="A1092" s="257" t="s">
        <v>222</v>
      </c>
      <c r="B1092" s="258"/>
      <c r="C1092" s="258"/>
      <c r="D1092" s="258"/>
      <c r="E1092" s="258"/>
      <c r="F1092" s="258"/>
      <c r="G1092" s="259"/>
      <c r="H1092" s="317">
        <f>H907</f>
        <v>18.899999999999999</v>
      </c>
      <c r="I1092" s="318" t="s">
        <v>4</v>
      </c>
    </row>
    <row r="1093" spans="1:9" ht="15" customHeight="1">
      <c r="A1093" s="319"/>
      <c r="B1093" s="224"/>
      <c r="C1093" s="224"/>
      <c r="D1093" s="224"/>
      <c r="E1093" s="224"/>
      <c r="F1093" s="224"/>
      <c r="G1093" s="225"/>
      <c r="H1093" s="320"/>
      <c r="I1093" s="321"/>
    </row>
    <row r="1094" spans="1:9" ht="15" customHeight="1">
      <c r="A1094" s="319" t="s">
        <v>223</v>
      </c>
      <c r="B1094" s="224"/>
      <c r="C1094" s="224"/>
      <c r="D1094" s="224"/>
      <c r="E1094" s="224"/>
      <c r="F1094" s="224"/>
      <c r="G1094" s="225"/>
      <c r="H1094" s="173">
        <f>H905</f>
        <v>5</v>
      </c>
      <c r="I1094" s="321" t="s">
        <v>224</v>
      </c>
    </row>
    <row r="1095" spans="1:9" ht="15" customHeight="1">
      <c r="A1095" s="121"/>
      <c r="B1095" s="224"/>
      <c r="C1095" s="224"/>
      <c r="D1095" s="224"/>
      <c r="E1095" s="224"/>
      <c r="F1095" s="224"/>
      <c r="G1095" s="225"/>
      <c r="H1095" s="322"/>
      <c r="I1095" s="321"/>
    </row>
    <row r="1096" spans="1:9" ht="15" customHeight="1">
      <c r="A1096" s="319" t="s">
        <v>225</v>
      </c>
      <c r="B1096" s="224"/>
      <c r="C1096" s="224"/>
      <c r="D1096" s="224"/>
      <c r="E1096" s="224"/>
      <c r="F1096" s="224"/>
      <c r="G1096" s="225"/>
      <c r="H1096" s="323"/>
      <c r="I1096" s="321"/>
    </row>
    <row r="1097" spans="1:9" ht="15" customHeight="1">
      <c r="A1097" s="336">
        <f>H903</f>
        <v>400</v>
      </c>
      <c r="B1097" s="302">
        <f>B769</f>
        <v>84</v>
      </c>
      <c r="C1097" s="224"/>
      <c r="D1097" s="224"/>
      <c r="E1097" s="224"/>
      <c r="F1097" s="224"/>
      <c r="G1097" s="225"/>
      <c r="H1097" s="323">
        <f>A1097/B769</f>
        <v>4.7619047619047619</v>
      </c>
      <c r="I1097" s="321" t="s">
        <v>15</v>
      </c>
    </row>
    <row r="1098" spans="1:9" ht="15" customHeight="1">
      <c r="A1098" s="319"/>
      <c r="B1098" s="224"/>
      <c r="C1098" s="224"/>
      <c r="D1098" s="224"/>
      <c r="E1098" s="224"/>
      <c r="F1098" s="224"/>
      <c r="G1098" s="225"/>
      <c r="H1098" s="187"/>
      <c r="I1098" s="321"/>
    </row>
    <row r="1099" spans="1:9" ht="15" customHeight="1">
      <c r="A1099" s="319" t="s">
        <v>226</v>
      </c>
      <c r="B1099" s="224"/>
      <c r="C1099" s="224"/>
      <c r="D1099" s="224"/>
      <c r="E1099" s="224"/>
      <c r="F1099" s="224"/>
      <c r="G1099" s="225"/>
      <c r="H1099" s="323">
        <f>H1092/H1094*2</f>
        <v>7.56</v>
      </c>
      <c r="I1099" s="321" t="s">
        <v>15</v>
      </c>
    </row>
    <row r="1100" spans="1:9" ht="15" customHeight="1">
      <c r="A1100" s="319"/>
      <c r="B1100" s="224"/>
      <c r="C1100" s="224"/>
      <c r="D1100" s="224"/>
      <c r="E1100" s="224"/>
      <c r="F1100" s="224"/>
      <c r="G1100" s="225"/>
      <c r="H1100" s="187"/>
      <c r="I1100" s="321"/>
    </row>
    <row r="1101" spans="1:9" ht="15" customHeight="1">
      <c r="A1101" s="319" t="s">
        <v>229</v>
      </c>
      <c r="B1101" s="224"/>
      <c r="C1101" s="224"/>
      <c r="D1101" s="224"/>
      <c r="E1101" s="224"/>
      <c r="F1101" s="224"/>
      <c r="G1101" s="225"/>
      <c r="H1101" s="324">
        <v>0.5</v>
      </c>
      <c r="I1101" s="321" t="s">
        <v>15</v>
      </c>
    </row>
    <row r="1102" spans="1:9" ht="15" customHeight="1">
      <c r="A1102" s="319"/>
      <c r="B1102" s="224"/>
      <c r="C1102" s="224"/>
      <c r="D1102" s="224"/>
      <c r="E1102" s="224"/>
      <c r="F1102" s="224"/>
      <c r="G1102" s="225"/>
      <c r="H1102" s="187"/>
      <c r="I1102" s="321"/>
    </row>
    <row r="1103" spans="1:9" ht="15" customHeight="1">
      <c r="A1103" s="303" t="s">
        <v>227</v>
      </c>
      <c r="B1103" s="239"/>
      <c r="C1103" s="239"/>
      <c r="D1103" s="239"/>
      <c r="E1103" s="239"/>
      <c r="F1103" s="239"/>
      <c r="G1103" s="240"/>
      <c r="H1103" s="325">
        <f>H1097+H1099+H1101</f>
        <v>12.821904761904761</v>
      </c>
      <c r="I1103" s="326" t="s">
        <v>15</v>
      </c>
    </row>
    <row r="1104" spans="1:9" ht="15" customHeight="1"/>
    <row r="1105" spans="1:9" ht="15" customHeight="1">
      <c r="A1105" s="19" t="s">
        <v>228</v>
      </c>
      <c r="B1105" s="19"/>
      <c r="C1105" s="19"/>
      <c r="D1105" s="19"/>
      <c r="E1105" s="19"/>
      <c r="F1105" s="167"/>
      <c r="G1105" s="168"/>
      <c r="H1105" s="167"/>
      <c r="I1105" s="168"/>
    </row>
    <row r="1106" spans="1:9" ht="15" customHeight="1">
      <c r="A1106" s="167" t="s">
        <v>235</v>
      </c>
      <c r="B1106" s="167"/>
      <c r="C1106" s="167"/>
      <c r="D1106" s="167"/>
      <c r="E1106" s="167"/>
      <c r="F1106" s="167"/>
      <c r="G1106" s="168"/>
      <c r="H1106" s="167">
        <v>576</v>
      </c>
      <c r="I1106" s="168" t="s">
        <v>16</v>
      </c>
    </row>
    <row r="1107" spans="1:9" ht="15" customHeight="1">
      <c r="A1107" s="167" t="s">
        <v>277</v>
      </c>
      <c r="B1107" s="167"/>
      <c r="C1107" s="167"/>
      <c r="D1107" s="167"/>
      <c r="E1107" s="167"/>
      <c r="F1107" s="167"/>
      <c r="G1107" s="168"/>
      <c r="H1107" s="337">
        <f>A1097*0.85</f>
        <v>340</v>
      </c>
      <c r="I1107" s="168" t="s">
        <v>356</v>
      </c>
    </row>
    <row r="1108" spans="1:9" ht="15" customHeight="1">
      <c r="A1108" s="167" t="s">
        <v>236</v>
      </c>
      <c r="B1108" s="167"/>
      <c r="C1108" s="167"/>
      <c r="D1108" s="167"/>
      <c r="E1108" s="167"/>
      <c r="F1108" s="167"/>
      <c r="G1108" s="168"/>
      <c r="H1108" s="167">
        <f>ROUNDDOWN(H1106/H1103,0)</f>
        <v>44</v>
      </c>
      <c r="I1108" s="168" t="s">
        <v>237</v>
      </c>
    </row>
    <row r="1109" spans="1:9" ht="15" customHeight="1">
      <c r="A1109" s="54" t="s">
        <v>238</v>
      </c>
      <c r="B1109" s="54"/>
      <c r="C1109" s="54"/>
      <c r="D1109" s="54"/>
      <c r="E1109" s="54"/>
      <c r="F1109" s="54"/>
      <c r="G1109" s="54"/>
      <c r="H1109" s="132">
        <f>H1107*H1108</f>
        <v>14960</v>
      </c>
      <c r="I1109" s="54" t="s">
        <v>18</v>
      </c>
    </row>
    <row r="1110" spans="1:9" ht="15" customHeight="1">
      <c r="A1110" s="122"/>
      <c r="B1110" s="122"/>
      <c r="C1110" s="122"/>
      <c r="D1110" s="122"/>
      <c r="E1110" s="122"/>
      <c r="F1110" s="122"/>
      <c r="G1110" s="123"/>
      <c r="H1110" s="122"/>
      <c r="I1110" s="123"/>
    </row>
    <row r="1111" spans="1:9" ht="15" customHeight="1">
      <c r="A1111" s="61" t="s">
        <v>231</v>
      </c>
      <c r="B1111" s="61"/>
      <c r="C1111" s="61"/>
      <c r="D1111" s="224"/>
      <c r="E1111" s="224"/>
      <c r="F1111" s="224"/>
      <c r="G1111" s="225"/>
      <c r="H1111" s="224"/>
      <c r="I1111" s="225"/>
    </row>
    <row r="1112" spans="1:9" ht="15" customHeight="1">
      <c r="A1112" s="57" t="s">
        <v>409</v>
      </c>
      <c r="B1112" s="167"/>
      <c r="C1112" s="167"/>
      <c r="D1112" s="167"/>
      <c r="E1112" s="167"/>
      <c r="F1112" s="167"/>
      <c r="G1112" s="168"/>
      <c r="H1112" s="167"/>
      <c r="I1112" s="168"/>
    </row>
    <row r="1113" spans="1:9" ht="15" customHeight="1">
      <c r="A1113" s="167"/>
      <c r="B1113" s="167"/>
      <c r="C1113" s="167"/>
      <c r="D1113" s="167"/>
      <c r="E1113" s="167"/>
      <c r="F1113" s="167"/>
      <c r="G1113" s="168"/>
      <c r="H1113" s="167"/>
      <c r="I1113" s="168"/>
    </row>
    <row r="1114" spans="1:9" ht="15" customHeight="1">
      <c r="A1114" s="249" t="s">
        <v>230</v>
      </c>
      <c r="B1114" s="242"/>
      <c r="C1114" s="242"/>
      <c r="D1114" s="242"/>
      <c r="E1114" s="242"/>
      <c r="F1114" s="242"/>
      <c r="G1114" s="247"/>
      <c r="H1114" s="82">
        <f>MIN(H1109*2,H773)</f>
        <v>29920</v>
      </c>
      <c r="I1114" s="133" t="s">
        <v>18</v>
      </c>
    </row>
    <row r="1115" spans="1:9" ht="15" customHeight="1">
      <c r="A1115" s="167"/>
      <c r="B1115" s="167"/>
      <c r="C1115" s="167"/>
      <c r="D1115" s="167"/>
      <c r="E1115" s="167"/>
      <c r="F1115" s="167"/>
      <c r="G1115" s="168"/>
      <c r="H1115" s="167"/>
      <c r="I1115" s="168"/>
    </row>
    <row r="1118" spans="1:9" ht="15" customHeight="1">
      <c r="G1118"/>
      <c r="I1118"/>
    </row>
    <row r="1119" spans="1:9" ht="15" customHeight="1">
      <c r="G1119"/>
      <c r="I1119"/>
    </row>
    <row r="1120" spans="1:9" ht="15" customHeight="1">
      <c r="G1120"/>
      <c r="I1120"/>
    </row>
    <row r="1121" spans="1:9" ht="15" customHeight="1">
      <c r="A1121" s="122"/>
      <c r="B1121" s="122"/>
      <c r="C1121" s="122"/>
      <c r="D1121" s="122"/>
      <c r="E1121" s="122"/>
      <c r="F1121" s="122"/>
      <c r="G1121" s="123"/>
      <c r="H1121" s="122"/>
      <c r="I1121" s="123"/>
    </row>
    <row r="1122" spans="1:9" ht="15" customHeight="1">
      <c r="A1122" s="167"/>
      <c r="B1122" s="167"/>
      <c r="C1122" s="167"/>
      <c r="D1122" s="167"/>
      <c r="E1122" s="167"/>
      <c r="F1122" s="167"/>
      <c r="G1122" s="168"/>
      <c r="H1122" s="167"/>
      <c r="I1122" s="168"/>
    </row>
    <row r="1123" spans="1:9" ht="15" customHeight="1">
      <c r="A1123" s="167"/>
      <c r="B1123" s="167"/>
      <c r="C1123" s="167"/>
      <c r="D1123" s="167"/>
      <c r="E1123" s="167"/>
      <c r="F1123" s="167"/>
      <c r="G1123" s="168"/>
      <c r="H1123" s="167"/>
      <c r="I1123" s="168"/>
    </row>
    <row r="1124" spans="1:9" ht="15" customHeight="1">
      <c r="A1124" s="167"/>
      <c r="B1124" s="167"/>
      <c r="C1124" s="167"/>
      <c r="D1124" s="167"/>
      <c r="E1124" s="167"/>
      <c r="F1124" s="167"/>
      <c r="G1124" s="168"/>
      <c r="H1124" s="167"/>
      <c r="I1124" s="168"/>
    </row>
    <row r="1125" spans="1:9" ht="15" customHeight="1">
      <c r="A1125" s="167"/>
      <c r="B1125" s="167"/>
      <c r="C1125" s="167"/>
      <c r="D1125" s="167"/>
      <c r="E1125" s="167"/>
      <c r="F1125" s="167"/>
      <c r="G1125" s="168"/>
      <c r="H1125" s="167"/>
      <c r="I1125" s="168"/>
    </row>
    <row r="1126" spans="1:9" ht="15" customHeight="1">
      <c r="A1126" s="167"/>
      <c r="B1126" s="167"/>
      <c r="C1126" s="167"/>
      <c r="D1126" s="167"/>
      <c r="E1126" s="167"/>
      <c r="F1126" s="167"/>
      <c r="G1126" s="168"/>
      <c r="H1126" s="167"/>
      <c r="I1126" s="168"/>
    </row>
    <row r="1127" spans="1:9" ht="15" customHeight="1">
      <c r="A1127" s="167"/>
      <c r="B1127" s="167"/>
      <c r="C1127" s="167"/>
      <c r="D1127" s="167"/>
      <c r="E1127" s="167"/>
      <c r="F1127" s="167"/>
      <c r="G1127" s="168"/>
      <c r="H1127" s="167"/>
      <c r="I1127" s="168"/>
    </row>
    <row r="1128" spans="1:9" ht="15" customHeight="1">
      <c r="A1128" s="167"/>
      <c r="B1128" s="167"/>
      <c r="C1128" s="167"/>
      <c r="D1128" s="167"/>
      <c r="E1128" s="167"/>
      <c r="F1128" s="167"/>
      <c r="G1128" s="168"/>
      <c r="H1128" s="167"/>
      <c r="I1128" s="168"/>
    </row>
    <row r="1129" spans="1:9" ht="15" customHeight="1">
      <c r="A1129" s="167"/>
      <c r="B1129" s="167"/>
      <c r="C1129" s="167"/>
      <c r="D1129" s="167"/>
      <c r="E1129" s="167"/>
      <c r="F1129" s="167"/>
      <c r="G1129" s="168"/>
      <c r="H1129" s="167"/>
      <c r="I1129" s="168"/>
    </row>
    <row r="1130" spans="1:9" ht="15" customHeight="1">
      <c r="A1130" s="167"/>
      <c r="B1130" s="167"/>
      <c r="C1130" s="167"/>
      <c r="D1130" s="167"/>
      <c r="E1130" s="167"/>
      <c r="F1130" s="167"/>
      <c r="G1130" s="168"/>
      <c r="H1130" s="167"/>
      <c r="I1130" s="168"/>
    </row>
    <row r="1131" spans="1:9" ht="15" customHeight="1">
      <c r="A1131" s="167"/>
      <c r="B1131" s="167"/>
      <c r="C1131" s="167"/>
      <c r="D1131" s="167"/>
      <c r="E1131" s="167"/>
      <c r="F1131" s="167"/>
      <c r="G1131" s="168"/>
      <c r="H1131" s="167"/>
      <c r="I1131" s="168"/>
    </row>
    <row r="1132" spans="1:9" ht="15" customHeight="1">
      <c r="A1132" s="167"/>
      <c r="B1132" s="167"/>
      <c r="C1132" s="167"/>
      <c r="D1132" s="167"/>
      <c r="E1132" s="167"/>
      <c r="F1132" s="167"/>
      <c r="G1132" s="168"/>
      <c r="H1132" s="167"/>
      <c r="I1132" s="168"/>
    </row>
    <row r="1133" spans="1:9" ht="15" customHeight="1">
      <c r="A1133" s="167"/>
      <c r="B1133" s="167"/>
      <c r="C1133" s="167"/>
      <c r="D1133" s="167"/>
      <c r="E1133" s="167"/>
      <c r="F1133" s="167"/>
      <c r="G1133" s="168"/>
      <c r="H1133" s="167"/>
      <c r="I1133" s="168"/>
    </row>
    <row r="1134" spans="1:9" ht="15" customHeight="1">
      <c r="A1134" s="192"/>
      <c r="B1134" s="192"/>
      <c r="C1134" s="192"/>
      <c r="D1134" s="192"/>
      <c r="E1134" s="192"/>
      <c r="F1134" s="192"/>
      <c r="G1134" s="243"/>
      <c r="H1134" s="192"/>
      <c r="I1134" s="243"/>
    </row>
    <row r="1135" spans="1:9" ht="15" customHeight="1">
      <c r="A1135" s="258"/>
      <c r="B1135" s="258"/>
      <c r="C1135" s="258"/>
      <c r="D1135" s="258"/>
      <c r="E1135" s="258"/>
      <c r="F1135" s="258"/>
      <c r="G1135" s="259"/>
      <c r="H1135" s="258"/>
      <c r="I1135" s="259"/>
    </row>
    <row r="1136" spans="1:9" ht="15" customHeight="1">
      <c r="A1136" s="718" t="s">
        <v>217</v>
      </c>
      <c r="B1136" s="719"/>
      <c r="C1136" s="719"/>
      <c r="D1136" s="719"/>
      <c r="E1136" s="719"/>
      <c r="F1136" s="719"/>
      <c r="G1136" s="719"/>
      <c r="H1136" s="719"/>
      <c r="I1136" s="719"/>
    </row>
    <row r="1137" spans="1:9" ht="15" customHeight="1">
      <c r="A1137" s="738" t="s">
        <v>380</v>
      </c>
      <c r="B1137" s="738"/>
      <c r="C1137" s="738"/>
      <c r="D1137" s="738"/>
      <c r="E1137" s="738"/>
      <c r="F1137" s="738"/>
      <c r="G1137" s="738"/>
      <c r="H1137" s="738"/>
      <c r="I1137" s="738"/>
    </row>
    <row r="1138" spans="1:9" ht="15" customHeight="1">
      <c r="A1138" s="167"/>
      <c r="B1138" s="167"/>
      <c r="C1138" s="167"/>
      <c r="D1138" s="167"/>
      <c r="E1138" s="167"/>
      <c r="F1138" s="167"/>
      <c r="G1138" s="168"/>
      <c r="H1138" s="167"/>
      <c r="I1138" s="168"/>
    </row>
    <row r="1139" spans="1:9" ht="15" customHeight="1">
      <c r="A1139" s="73" t="s">
        <v>361</v>
      </c>
      <c r="B1139" s="74"/>
      <c r="C1139" s="74"/>
      <c r="D1139" s="74"/>
      <c r="E1139" s="74"/>
      <c r="F1139" s="74"/>
      <c r="G1139" s="75"/>
      <c r="H1139" s="79">
        <f>H878</f>
        <v>372034.76607456</v>
      </c>
      <c r="I1139" s="134" t="s">
        <v>26</v>
      </c>
    </row>
    <row r="1140" spans="1:9" ht="15" customHeight="1">
      <c r="A1140" s="67"/>
      <c r="B1140" s="57"/>
      <c r="C1140" s="57"/>
      <c r="D1140" s="57"/>
      <c r="E1140" s="57"/>
      <c r="F1140" s="57"/>
      <c r="G1140" s="68"/>
      <c r="H1140" s="69"/>
      <c r="I1140" s="70"/>
    </row>
    <row r="1141" spans="1:9" ht="15" customHeight="1">
      <c r="A1141" s="67" t="s">
        <v>440</v>
      </c>
      <c r="B1141" s="57"/>
      <c r="C1141" s="57"/>
      <c r="D1141" s="57"/>
      <c r="E1141" s="57"/>
      <c r="F1141" s="57"/>
      <c r="G1141" s="68"/>
      <c r="H1141" s="80">
        <f>H1078*2</f>
        <v>524743.35825109319</v>
      </c>
      <c r="I1141" s="70" t="s">
        <v>26</v>
      </c>
    </row>
    <row r="1142" spans="1:9" ht="15" customHeight="1">
      <c r="A1142" s="67"/>
      <c r="B1142" s="57"/>
      <c r="C1142" s="57"/>
      <c r="D1142" s="57"/>
      <c r="E1142" s="57"/>
      <c r="F1142" s="57"/>
      <c r="G1142" s="68"/>
      <c r="H1142" s="80"/>
      <c r="I1142" s="70"/>
    </row>
    <row r="1143" spans="1:9" ht="15" customHeight="1">
      <c r="A1143" s="67" t="s">
        <v>187</v>
      </c>
      <c r="B1143" s="57"/>
      <c r="C1143" s="57"/>
      <c r="D1143" s="57"/>
      <c r="E1143" s="57"/>
      <c r="F1143" s="57"/>
      <c r="G1143" s="68"/>
      <c r="H1143" s="80">
        <f>H830</f>
        <v>32248.125</v>
      </c>
      <c r="I1143" s="70" t="s">
        <v>26</v>
      </c>
    </row>
    <row r="1144" spans="1:9" ht="15" customHeight="1">
      <c r="A1144" s="67"/>
      <c r="B1144" s="57"/>
      <c r="C1144" s="57"/>
      <c r="D1144" s="57"/>
      <c r="E1144" s="57"/>
      <c r="F1144" s="57"/>
      <c r="G1144" s="68"/>
      <c r="H1144" s="69"/>
      <c r="I1144" s="70"/>
    </row>
    <row r="1145" spans="1:9" ht="15" customHeight="1">
      <c r="A1145" s="76" t="s">
        <v>186</v>
      </c>
      <c r="B1145" s="77"/>
      <c r="C1145" s="77"/>
      <c r="D1145" s="78"/>
      <c r="E1145" s="78"/>
      <c r="F1145" s="78"/>
      <c r="G1145" s="131"/>
      <c r="H1145" s="81">
        <f>SUM(H1139:H1144)</f>
        <v>929026.24932565319</v>
      </c>
      <c r="I1145" s="135" t="s">
        <v>26</v>
      </c>
    </row>
    <row r="1146" spans="1:9" ht="15" customHeight="1">
      <c r="A1146" s="48"/>
      <c r="B1146" s="48"/>
      <c r="C1146" s="48"/>
      <c r="D1146" s="48"/>
      <c r="E1146" s="48"/>
      <c r="F1146" s="48"/>
      <c r="G1146" s="71"/>
      <c r="H1146" s="48"/>
      <c r="I1146" s="71"/>
    </row>
    <row r="1147" spans="1:9" ht="15" customHeight="1">
      <c r="A1147" s="167"/>
      <c r="B1147" s="167"/>
      <c r="C1147" s="167"/>
      <c r="D1147" s="167"/>
      <c r="E1147" s="167"/>
      <c r="F1147" s="167"/>
      <c r="G1147" s="168"/>
      <c r="H1147" s="245"/>
      <c r="I1147" s="168"/>
    </row>
    <row r="1148" spans="1:9" ht="15" customHeight="1"/>
    <row r="1149" spans="1:9" ht="15" customHeight="1">
      <c r="A1149" s="167"/>
      <c r="B1149" s="167"/>
      <c r="C1149" s="167"/>
      <c r="D1149" s="167"/>
      <c r="E1149" s="167"/>
      <c r="F1149" s="167"/>
      <c r="G1149" s="168"/>
      <c r="H1149" s="167"/>
      <c r="I1149" s="168"/>
    </row>
    <row r="1150" spans="1:9" ht="15" customHeight="1">
      <c r="A1150" s="791" t="str">
        <f>A636</f>
        <v>Berços Porto Novo</v>
      </c>
      <c r="B1150" s="791"/>
      <c r="C1150" s="791"/>
      <c r="D1150" s="791"/>
      <c r="E1150" s="791"/>
      <c r="F1150" s="791"/>
      <c r="G1150" s="791"/>
      <c r="H1150" s="791"/>
      <c r="I1150" s="791"/>
    </row>
    <row r="1151" spans="1:9" ht="15" customHeight="1">
      <c r="A1151" s="738" t="s">
        <v>381</v>
      </c>
      <c r="B1151" s="738"/>
      <c r="C1151" s="738"/>
      <c r="D1151" s="738"/>
      <c r="E1151" s="738"/>
      <c r="F1151" s="738"/>
      <c r="G1151" s="738"/>
      <c r="H1151" s="738"/>
      <c r="I1151" s="738"/>
    </row>
    <row r="1152" spans="1:9" ht="15" customHeight="1">
      <c r="A1152" s="55"/>
      <c r="B1152" s="55"/>
      <c r="C1152" s="55"/>
      <c r="D1152" s="55"/>
      <c r="E1152" s="55"/>
      <c r="F1152" s="55"/>
      <c r="G1152" s="55"/>
      <c r="H1152" s="55"/>
      <c r="I1152" s="55"/>
    </row>
    <row r="1153" spans="1:9" ht="15" customHeight="1">
      <c r="A1153" s="167"/>
      <c r="B1153" s="167"/>
      <c r="C1153" s="167"/>
      <c r="D1153" s="167"/>
      <c r="E1153" s="167"/>
      <c r="F1153" s="167"/>
      <c r="G1153" s="168"/>
      <c r="H1153" s="167"/>
      <c r="I1153" s="168"/>
    </row>
    <row r="1154" spans="1:9" ht="15" customHeight="1">
      <c r="A1154" s="358" t="s">
        <v>490</v>
      </c>
      <c r="B1154" s="377"/>
      <c r="C1154" s="377"/>
      <c r="D1154" s="377"/>
      <c r="E1154" s="377"/>
      <c r="F1154" s="377"/>
      <c r="G1154" s="465"/>
      <c r="H1154" s="677">
        <f>ROUND(H1145/H1114,2)</f>
        <v>31.05</v>
      </c>
      <c r="I1154" s="359" t="s">
        <v>107</v>
      </c>
    </row>
    <row r="1155" spans="1:9" ht="15" customHeight="1">
      <c r="A1155" s="353"/>
      <c r="B1155" s="354"/>
      <c r="C1155" s="354"/>
      <c r="D1155" s="354"/>
      <c r="E1155" s="354"/>
      <c r="F1155" s="354"/>
      <c r="G1155" s="463"/>
      <c r="H1155" s="184"/>
      <c r="I1155" s="356"/>
    </row>
    <row r="1156" spans="1:9" ht="15" customHeight="1">
      <c r="A1156" s="353" t="s">
        <v>491</v>
      </c>
      <c r="B1156" s="354"/>
      <c r="C1156" s="354"/>
      <c r="D1156" s="354"/>
      <c r="E1156" s="354"/>
      <c r="F1156" s="354"/>
      <c r="G1156" s="463"/>
      <c r="H1156" s="207">
        <f>H671</f>
        <v>141122.70013184127</v>
      </c>
      <c r="I1156" s="356" t="s">
        <v>13</v>
      </c>
    </row>
    <row r="1157" spans="1:9" ht="15" customHeight="1">
      <c r="A1157" s="353"/>
      <c r="B1157" s="354"/>
      <c r="C1157" s="354"/>
      <c r="D1157" s="354"/>
      <c r="E1157" s="354"/>
      <c r="F1157" s="354"/>
      <c r="G1157" s="463"/>
      <c r="H1157" s="184"/>
      <c r="I1157" s="356"/>
    </row>
    <row r="1158" spans="1:9" ht="15" customHeight="1">
      <c r="A1158" s="353" t="s">
        <v>437</v>
      </c>
      <c r="B1158" s="354"/>
      <c r="C1158" s="354"/>
      <c r="D1158" s="354"/>
      <c r="E1158" s="354"/>
      <c r="F1158" s="354"/>
      <c r="G1158" s="463"/>
      <c r="H1158" s="221">
        <f>Assoreamento!J7</f>
        <v>1</v>
      </c>
      <c r="I1158" s="356" t="s">
        <v>492</v>
      </c>
    </row>
    <row r="1159" spans="1:9" ht="15" customHeight="1">
      <c r="A1159" s="353"/>
      <c r="B1159" s="354"/>
      <c r="C1159" s="354"/>
      <c r="D1159" s="354"/>
      <c r="E1159" s="354"/>
      <c r="F1159" s="354"/>
      <c r="G1159" s="463"/>
      <c r="H1159" s="184"/>
      <c r="I1159" s="356"/>
    </row>
    <row r="1160" spans="1:9" ht="15" customHeight="1">
      <c r="A1160" s="353" t="s">
        <v>493</v>
      </c>
      <c r="B1160" s="354"/>
      <c r="C1160" s="354"/>
      <c r="D1160" s="354"/>
      <c r="E1160" s="354"/>
      <c r="F1160" s="354"/>
      <c r="G1160" s="463"/>
      <c r="H1160" s="380">
        <f>30*H1156/H1114/H1158</f>
        <v>141.50003355465367</v>
      </c>
      <c r="I1160" s="356" t="s">
        <v>100</v>
      </c>
    </row>
    <row r="1161" spans="1:9" ht="15" customHeight="1">
      <c r="A1161" s="678"/>
      <c r="B1161" s="354"/>
      <c r="C1161" s="354"/>
      <c r="D1161" s="354"/>
      <c r="E1161" s="354"/>
      <c r="F1161" s="354"/>
      <c r="G1161" s="463"/>
      <c r="H1161" s="184"/>
      <c r="I1161" s="679"/>
    </row>
    <row r="1162" spans="1:9" ht="15" customHeight="1">
      <c r="A1162" s="353" t="s">
        <v>494</v>
      </c>
      <c r="B1162" s="354"/>
      <c r="C1162" s="354"/>
      <c r="D1162" s="354"/>
      <c r="E1162" s="354"/>
      <c r="F1162" s="354"/>
      <c r="G1162" s="463"/>
      <c r="H1162" s="173">
        <f>Assoreamento!L7</f>
        <v>6975.0216148066047</v>
      </c>
      <c r="I1162" s="356" t="s">
        <v>13</v>
      </c>
    </row>
    <row r="1163" spans="1:9" ht="15" customHeight="1">
      <c r="A1163" s="353"/>
      <c r="B1163" s="354"/>
      <c r="C1163" s="354"/>
      <c r="D1163" s="354"/>
      <c r="E1163" s="354"/>
      <c r="F1163" s="354"/>
      <c r="G1163" s="463"/>
      <c r="H1163" s="184"/>
      <c r="I1163" s="356"/>
    </row>
    <row r="1164" spans="1:9" ht="15" customHeight="1">
      <c r="A1164" s="353" t="s">
        <v>495</v>
      </c>
      <c r="B1164" s="354"/>
      <c r="C1164" s="354"/>
      <c r="D1164" s="354"/>
      <c r="E1164" s="354"/>
      <c r="F1164" s="354"/>
      <c r="G1164" s="463"/>
      <c r="H1164" s="191">
        <f>30*H1162/H1114/H1158</f>
        <v>6.9936714052205255</v>
      </c>
      <c r="I1164" s="356" t="s">
        <v>100</v>
      </c>
    </row>
    <row r="1165" spans="1:9" ht="15" customHeight="1">
      <c r="A1165" s="353"/>
      <c r="B1165" s="354"/>
      <c r="C1165" s="354"/>
      <c r="D1165" s="354"/>
      <c r="E1165" s="354"/>
      <c r="F1165" s="354"/>
      <c r="G1165" s="463"/>
      <c r="H1165" s="187"/>
      <c r="I1165" s="356"/>
    </row>
    <row r="1166" spans="1:9" ht="15" customHeight="1">
      <c r="A1166" s="353" t="s">
        <v>496</v>
      </c>
      <c r="B1166" s="354"/>
      <c r="C1166" s="354"/>
      <c r="D1166" s="354"/>
      <c r="E1166" s="489"/>
      <c r="F1166" s="354"/>
      <c r="G1166" s="463"/>
      <c r="H1166" s="173">
        <f>Assoreamento!M7</f>
        <v>5713.4195970788578</v>
      </c>
      <c r="I1166" s="356" t="s">
        <v>13</v>
      </c>
    </row>
    <row r="1167" spans="1:9" ht="15" customHeight="1">
      <c r="A1167" s="353"/>
      <c r="B1167" s="354"/>
      <c r="C1167" s="354"/>
      <c r="D1167" s="354"/>
      <c r="E1167" s="354"/>
      <c r="F1167" s="354"/>
      <c r="G1167" s="463"/>
      <c r="H1167" s="187"/>
      <c r="I1167" s="356"/>
    </row>
    <row r="1168" spans="1:9" ht="15" customHeight="1">
      <c r="A1168" s="355" t="s">
        <v>497</v>
      </c>
      <c r="B1168" s="378"/>
      <c r="C1168" s="378"/>
      <c r="D1168" s="378"/>
      <c r="E1168" s="378"/>
      <c r="F1168" s="378"/>
      <c r="G1168" s="462"/>
      <c r="H1168" s="325">
        <f>30*H1166/H1114/H1158</f>
        <v>5.7286961200656998</v>
      </c>
      <c r="I1168" s="357" t="s">
        <v>100</v>
      </c>
    </row>
    <row r="1169" spans="1:9" ht="15" customHeight="1">
      <c r="A1169" s="381"/>
      <c r="B1169" s="680"/>
      <c r="C1169" s="680"/>
      <c r="D1169" s="680"/>
      <c r="E1169" s="680"/>
      <c r="F1169" s="680"/>
      <c r="G1169" s="680"/>
      <c r="H1169" s="681"/>
      <c r="I1169" s="421"/>
    </row>
    <row r="1170" spans="1:9" ht="15" customHeight="1">
      <c r="A1170" s="200" t="s">
        <v>498</v>
      </c>
      <c r="B1170" s="364"/>
      <c r="C1170" s="364"/>
      <c r="D1170" s="364"/>
      <c r="E1170" s="364"/>
      <c r="F1170" s="364"/>
      <c r="G1170" s="376"/>
      <c r="H1170" s="682">
        <f>SUM(H1162,H1166)</f>
        <v>12688.441211885463</v>
      </c>
      <c r="I1170" s="201" t="s">
        <v>13</v>
      </c>
    </row>
    <row r="1171" spans="1:9" ht="15" customHeight="1">
      <c r="A1171" s="57"/>
      <c r="B1171" s="174"/>
      <c r="C1171" s="174"/>
      <c r="D1171" s="174"/>
      <c r="E1171" s="683"/>
      <c r="F1171" s="683"/>
      <c r="G1171" s="683"/>
      <c r="H1171" s="57"/>
      <c r="I1171" s="684"/>
    </row>
    <row r="1172" spans="1:9" ht="15" customHeight="1">
      <c r="A1172" s="685" t="s">
        <v>499</v>
      </c>
      <c r="B1172" s="364"/>
      <c r="C1172" s="364"/>
      <c r="D1172" s="364"/>
      <c r="E1172" s="364"/>
      <c r="F1172" s="364"/>
      <c r="G1172" s="376"/>
      <c r="H1172" s="686">
        <f>SUM(H1160,H1164,H1168)</f>
        <v>154.22240107993991</v>
      </c>
      <c r="I1172" s="356" t="s">
        <v>100</v>
      </c>
    </row>
    <row r="1173" spans="1:9" ht="15" customHeight="1">
      <c r="A1173" s="687"/>
      <c r="B1173" s="352"/>
      <c r="C1173" s="352"/>
      <c r="D1173" s="352"/>
      <c r="E1173" s="352"/>
      <c r="F1173" s="352"/>
      <c r="G1173" s="374"/>
      <c r="H1173" s="352"/>
      <c r="I1173" s="688"/>
    </row>
    <row r="1174" spans="1:9" ht="15" customHeight="1">
      <c r="A1174" s="200" t="s">
        <v>500</v>
      </c>
      <c r="B1174" s="364"/>
      <c r="C1174" s="364"/>
      <c r="D1174" s="364"/>
      <c r="E1174" s="364"/>
      <c r="F1174" s="364"/>
      <c r="G1174" s="376"/>
      <c r="H1174" s="689">
        <f>H1154*SUM(H1156,H1162,H1166)</f>
        <v>4775835.9387227157</v>
      </c>
      <c r="I1174" s="462" t="s">
        <v>23</v>
      </c>
    </row>
    <row r="1175" spans="1:9" ht="15" customHeight="1">
      <c r="A1175" s="167"/>
      <c r="B1175" s="167"/>
      <c r="C1175" s="167"/>
      <c r="D1175" s="167"/>
      <c r="E1175" s="167"/>
      <c r="F1175" s="167"/>
      <c r="G1175" s="168"/>
      <c r="H1175" s="167"/>
      <c r="I1175" s="168"/>
    </row>
    <row r="1176" spans="1:9" ht="15" customHeight="1">
      <c r="A1176" s="167"/>
      <c r="B1176" s="167"/>
      <c r="C1176" s="167"/>
      <c r="D1176" s="167"/>
      <c r="E1176" s="167"/>
      <c r="F1176" s="167"/>
      <c r="G1176" s="168"/>
      <c r="H1176" s="167"/>
      <c r="I1176" s="168"/>
    </row>
    <row r="1177" spans="1:9" ht="15" customHeight="1">
      <c r="A1177" s="167"/>
      <c r="B1177" s="167"/>
      <c r="C1177" s="167"/>
      <c r="D1177" s="167"/>
      <c r="E1177" s="167"/>
      <c r="F1177" s="167"/>
      <c r="G1177" s="168"/>
      <c r="H1177" s="167"/>
      <c r="I1177" s="168"/>
    </row>
    <row r="1178" spans="1:9" ht="15" customHeight="1">
      <c r="A1178" s="224"/>
      <c r="B1178" s="224"/>
      <c r="C1178" s="224"/>
      <c r="D1178" s="224"/>
      <c r="E1178" s="224"/>
      <c r="F1178" s="224"/>
      <c r="G1178" s="225"/>
      <c r="H1178" s="224"/>
      <c r="I1178" s="225"/>
    </row>
    <row r="1179" spans="1:9" ht="15" customHeight="1">
      <c r="A1179" s="224"/>
      <c r="B1179" s="224"/>
      <c r="C1179" s="224"/>
      <c r="D1179" s="224"/>
      <c r="E1179" s="224"/>
      <c r="F1179" s="224"/>
      <c r="G1179" s="225"/>
      <c r="H1179" s="224"/>
      <c r="I1179" s="225"/>
    </row>
    <row r="1180" spans="1:9" ht="15" customHeight="1">
      <c r="A1180" s="224"/>
      <c r="B1180" s="224"/>
      <c r="C1180" s="224"/>
      <c r="D1180" s="224"/>
      <c r="E1180" s="224"/>
      <c r="F1180" s="224"/>
      <c r="G1180" s="225"/>
      <c r="H1180" s="224"/>
      <c r="I1180" s="225"/>
    </row>
    <row r="1181" spans="1:9" ht="15" customHeight="1">
      <c r="A1181" s="224"/>
      <c r="B1181" s="224"/>
      <c r="C1181" s="224"/>
      <c r="D1181" s="224"/>
      <c r="E1181" s="224"/>
      <c r="F1181" s="224"/>
      <c r="G1181" s="225"/>
      <c r="H1181" s="224"/>
      <c r="I1181" s="225"/>
    </row>
    <row r="1182" spans="1:9" ht="15" customHeight="1">
      <c r="A1182" s="224"/>
      <c r="B1182" s="224"/>
      <c r="C1182" s="224"/>
      <c r="D1182" s="224"/>
      <c r="E1182" s="224"/>
      <c r="F1182" s="224"/>
      <c r="G1182" s="225"/>
      <c r="H1182" s="327"/>
      <c r="I1182" s="225"/>
    </row>
    <row r="1183" spans="1:9" ht="15" customHeight="1">
      <c r="A1183" s="224"/>
      <c r="B1183" s="224"/>
      <c r="C1183" s="224"/>
      <c r="D1183" s="224"/>
      <c r="E1183" s="224"/>
      <c r="F1183" s="225"/>
      <c r="G1183" s="225"/>
      <c r="H1183" s="328"/>
      <c r="I1183" s="225"/>
    </row>
    <row r="1184" spans="1:9" ht="15" customHeight="1">
      <c r="A1184" s="101"/>
      <c r="B1184" s="85"/>
      <c r="C1184" s="85"/>
      <c r="D1184" s="85"/>
      <c r="E1184" s="85"/>
      <c r="F1184" s="85"/>
      <c r="G1184" s="85"/>
      <c r="H1184" s="102"/>
      <c r="I1184" s="102"/>
    </row>
    <row r="1185" spans="1:9" ht="15" customHeight="1">
      <c r="A1185" s="338"/>
      <c r="B1185" s="338"/>
      <c r="C1185" s="338"/>
      <c r="D1185" s="338"/>
      <c r="E1185" s="338"/>
      <c r="F1185" s="338"/>
      <c r="G1185" s="338"/>
      <c r="H1185" s="338"/>
      <c r="I1185" s="338"/>
    </row>
    <row r="1186" spans="1:9" ht="15" customHeight="1">
      <c r="A1186" s="734" t="s">
        <v>233</v>
      </c>
      <c r="B1186" s="734"/>
      <c r="C1186" s="734"/>
      <c r="D1186" s="734"/>
      <c r="E1186" s="734"/>
      <c r="F1186" s="734"/>
      <c r="G1186" s="734"/>
      <c r="H1186" s="734"/>
      <c r="I1186" s="734"/>
    </row>
    <row r="1187" spans="1:9" ht="15" customHeight="1">
      <c r="A1187" s="224"/>
      <c r="B1187" s="224"/>
      <c r="C1187" s="224"/>
      <c r="D1187" s="224"/>
      <c r="E1187" s="224"/>
      <c r="F1187" s="224"/>
      <c r="G1187" s="225"/>
      <c r="H1187" s="238"/>
      <c r="I1187" s="225"/>
    </row>
    <row r="1188" spans="1:9" ht="15" customHeight="1">
      <c r="A1188" s="19" t="s">
        <v>240</v>
      </c>
      <c r="B1188" s="167"/>
      <c r="C1188" s="167"/>
      <c r="D1188" s="167"/>
      <c r="E1188" s="167"/>
      <c r="F1188" s="167"/>
    </row>
    <row r="1189" spans="1:9" ht="15" customHeight="1"/>
    <row r="1190" spans="1:9" ht="15" customHeight="1">
      <c r="A1190" s="745" t="s">
        <v>241</v>
      </c>
      <c r="B1190" s="745"/>
      <c r="C1190" s="745"/>
      <c r="D1190" s="745"/>
      <c r="E1190" s="745"/>
      <c r="F1190" s="745"/>
      <c r="G1190" s="745"/>
      <c r="H1190" s="745"/>
      <c r="I1190" s="745"/>
    </row>
    <row r="1191" spans="1:9" ht="15" customHeight="1">
      <c r="A1191" s="745"/>
      <c r="B1191" s="745"/>
      <c r="C1191" s="745"/>
      <c r="D1191" s="745"/>
      <c r="E1191" s="745"/>
      <c r="F1191" s="745"/>
      <c r="G1191" s="745"/>
      <c r="H1191" s="745"/>
      <c r="I1191" s="745"/>
    </row>
    <row r="1192" spans="1:9" ht="15" customHeight="1">
      <c r="A1192" s="745"/>
      <c r="B1192" s="745"/>
      <c r="C1192" s="745"/>
      <c r="D1192" s="745"/>
      <c r="E1192" s="745"/>
      <c r="F1192" s="745"/>
      <c r="G1192" s="745"/>
      <c r="H1192" s="745"/>
      <c r="I1192" s="745"/>
    </row>
    <row r="1193" spans="1:9" ht="15" customHeight="1">
      <c r="A1193" s="745"/>
      <c r="B1193" s="745"/>
      <c r="C1193" s="745"/>
      <c r="D1193" s="745"/>
      <c r="E1193" s="745"/>
      <c r="F1193" s="745"/>
      <c r="G1193" s="745"/>
      <c r="H1193" s="745"/>
      <c r="I1193" s="745"/>
    </row>
    <row r="1194" spans="1:9" ht="15" customHeight="1">
      <c r="A1194" s="745"/>
      <c r="B1194" s="745"/>
      <c r="C1194" s="745"/>
      <c r="D1194" s="745"/>
      <c r="E1194" s="745"/>
      <c r="F1194" s="745"/>
      <c r="G1194" s="745"/>
      <c r="H1194" s="745"/>
      <c r="I1194" s="745"/>
    </row>
    <row r="1195" spans="1:9" ht="15" customHeight="1">
      <c r="A1195" s="745"/>
      <c r="B1195" s="745"/>
      <c r="C1195" s="745"/>
      <c r="D1195" s="745"/>
      <c r="E1195" s="745"/>
      <c r="F1195" s="745"/>
      <c r="G1195" s="745"/>
      <c r="H1195" s="745"/>
      <c r="I1195" s="745"/>
    </row>
    <row r="1196" spans="1:9" ht="15" customHeight="1">
      <c r="A1196" s="745"/>
      <c r="B1196" s="745"/>
      <c r="C1196" s="745"/>
      <c r="D1196" s="745"/>
      <c r="E1196" s="745"/>
      <c r="F1196" s="745"/>
      <c r="G1196" s="745"/>
      <c r="H1196" s="745"/>
      <c r="I1196" s="745"/>
    </row>
    <row r="1197" spans="1:9" ht="15" customHeight="1">
      <c r="A1197" s="246"/>
      <c r="B1197" s="246"/>
      <c r="C1197" s="246"/>
      <c r="D1197" s="246"/>
      <c r="E1197" s="246"/>
      <c r="F1197" s="246"/>
      <c r="G1197" s="246"/>
      <c r="H1197" s="246"/>
      <c r="I1197" s="246"/>
    </row>
    <row r="1198" spans="1:9" ht="15" customHeight="1">
      <c r="A1198" s="246"/>
      <c r="B1198" s="246"/>
      <c r="C1198" s="246"/>
      <c r="D1198" s="246"/>
      <c r="E1198" s="246"/>
      <c r="F1198" s="246"/>
      <c r="G1198" s="246"/>
      <c r="H1198" s="246"/>
      <c r="I1198" s="246"/>
    </row>
    <row r="1199" spans="1:9" ht="15" customHeight="1">
      <c r="A1199" s="48"/>
      <c r="B1199" s="48"/>
      <c r="C1199" s="246"/>
      <c r="D1199" s="246"/>
      <c r="E1199" s="246"/>
      <c r="F1199" s="246"/>
      <c r="G1199" s="246"/>
      <c r="H1199" s="246"/>
      <c r="I1199" s="246"/>
    </row>
    <row r="1200" spans="1:9" ht="15" customHeight="1">
      <c r="A1200" s="48"/>
      <c r="B1200" s="224"/>
      <c r="C1200" s="246"/>
      <c r="D1200" s="246"/>
      <c r="E1200" s="246"/>
      <c r="F1200" s="246"/>
      <c r="G1200" s="246"/>
      <c r="H1200" s="246"/>
      <c r="I1200" s="246"/>
    </row>
    <row r="1201" spans="1:9" ht="15" customHeight="1">
      <c r="A1201" s="224" t="s">
        <v>242</v>
      </c>
      <c r="B1201" s="224"/>
      <c r="C1201" s="246"/>
      <c r="D1201" s="246"/>
      <c r="E1201" s="246"/>
      <c r="F1201" s="246"/>
      <c r="G1201" s="246"/>
      <c r="H1201" s="246"/>
      <c r="I1201" s="246"/>
    </row>
    <row r="1202" spans="1:9" ht="15" customHeight="1">
      <c r="A1202" s="248" t="s">
        <v>243</v>
      </c>
      <c r="B1202" s="808" t="s">
        <v>244</v>
      </c>
      <c r="C1202" s="809"/>
      <c r="D1202" s="809"/>
      <c r="E1202" s="809"/>
      <c r="F1202" s="809"/>
      <c r="G1202" s="810"/>
      <c r="H1202" s="808" t="s">
        <v>245</v>
      </c>
      <c r="I1202" s="810"/>
    </row>
    <row r="1203" spans="1:9" ht="15" customHeight="1">
      <c r="A1203" s="251" t="s">
        <v>246</v>
      </c>
      <c r="B1203" s="249" t="s">
        <v>247</v>
      </c>
      <c r="C1203" s="242"/>
      <c r="D1203" s="242"/>
      <c r="E1203" s="242"/>
      <c r="F1203" s="242"/>
      <c r="G1203" s="250"/>
      <c r="H1203" s="792">
        <v>5.5199999999999999E-2</v>
      </c>
      <c r="I1203" s="793"/>
    </row>
    <row r="1204" spans="1:9" ht="15" customHeight="1">
      <c r="A1204" s="251" t="s">
        <v>248</v>
      </c>
      <c r="B1204" s="249" t="s">
        <v>249</v>
      </c>
      <c r="C1204" s="242"/>
      <c r="D1204" s="242"/>
      <c r="E1204" s="242"/>
      <c r="F1204" s="242"/>
      <c r="G1204" s="250"/>
      <c r="H1204" s="811">
        <v>1.2200000000000001E-2</v>
      </c>
      <c r="I1204" s="812"/>
    </row>
    <row r="1205" spans="1:9" ht="15" customHeight="1">
      <c r="A1205" s="251" t="s">
        <v>250</v>
      </c>
      <c r="B1205" s="249" t="s">
        <v>251</v>
      </c>
      <c r="C1205" s="140"/>
      <c r="D1205" s="140"/>
      <c r="E1205" s="140"/>
      <c r="F1205" s="140"/>
      <c r="G1205" s="141"/>
      <c r="H1205" s="792">
        <v>2.3199999999999998E-2</v>
      </c>
      <c r="I1205" s="793"/>
    </row>
    <row r="1206" spans="1:9" ht="15" customHeight="1">
      <c r="A1206" s="251" t="s">
        <v>252</v>
      </c>
      <c r="B1206" s="249" t="s">
        <v>253</v>
      </c>
      <c r="C1206" s="242"/>
      <c r="D1206" s="242"/>
      <c r="E1206" s="242"/>
      <c r="F1206" s="242"/>
      <c r="G1206" s="250"/>
      <c r="H1206" s="800" t="s">
        <v>370</v>
      </c>
      <c r="I1206" s="801"/>
    </row>
    <row r="1207" spans="1:9" ht="15" customHeight="1">
      <c r="A1207" s="251" t="s">
        <v>254</v>
      </c>
      <c r="B1207" s="249" t="s">
        <v>255</v>
      </c>
      <c r="C1207" s="242"/>
      <c r="D1207" s="242"/>
      <c r="E1207" s="242"/>
      <c r="F1207" s="242"/>
      <c r="G1207" s="250"/>
      <c r="H1207" s="792">
        <v>1.0200000000000001E-2</v>
      </c>
      <c r="I1207" s="793"/>
    </row>
    <row r="1208" spans="1:9" ht="15" customHeight="1">
      <c r="A1208" s="251" t="s">
        <v>256</v>
      </c>
      <c r="B1208" s="249" t="s">
        <v>257</v>
      </c>
      <c r="C1208" s="242"/>
      <c r="D1208" s="242"/>
      <c r="E1208" s="242"/>
      <c r="F1208" s="242"/>
      <c r="G1208" s="250"/>
      <c r="H1208" s="792">
        <v>8.4000000000000005E-2</v>
      </c>
      <c r="I1208" s="793"/>
    </row>
    <row r="1209" spans="1:9" ht="15" customHeight="1">
      <c r="A1209" s="251" t="s">
        <v>258</v>
      </c>
      <c r="B1209" s="249" t="s">
        <v>259</v>
      </c>
      <c r="C1209" s="242"/>
      <c r="D1209" s="242"/>
      <c r="E1209" s="242"/>
      <c r="F1209" s="242"/>
      <c r="G1209" s="250"/>
      <c r="H1209" s="800" t="s">
        <v>260</v>
      </c>
      <c r="I1209" s="801"/>
    </row>
    <row r="1210" spans="1:9" ht="15" customHeight="1">
      <c r="A1210" s="251" t="s">
        <v>265</v>
      </c>
      <c r="B1210" s="249" t="s">
        <v>262</v>
      </c>
      <c r="C1210" s="140"/>
      <c r="D1210" s="140"/>
      <c r="E1210" s="140"/>
      <c r="F1210" s="140"/>
      <c r="G1210" s="141"/>
      <c r="H1210" s="792">
        <v>6.4999999999999997E-3</v>
      </c>
      <c r="I1210" s="793"/>
    </row>
    <row r="1211" spans="1:9" ht="15" customHeight="1">
      <c r="A1211" s="251" t="s">
        <v>263</v>
      </c>
      <c r="B1211" s="249" t="s">
        <v>264</v>
      </c>
      <c r="C1211" s="140"/>
      <c r="D1211" s="140"/>
      <c r="E1211" s="140"/>
      <c r="F1211" s="140"/>
      <c r="G1211" s="141"/>
      <c r="H1211" s="806">
        <v>0.03</v>
      </c>
      <c r="I1211" s="807"/>
    </row>
    <row r="1212" spans="1:9" ht="15" customHeight="1">
      <c r="A1212" s="251" t="s">
        <v>261</v>
      </c>
      <c r="B1212" s="249" t="s">
        <v>266</v>
      </c>
      <c r="C1212" s="140"/>
      <c r="D1212" s="140"/>
      <c r="E1212" s="140"/>
      <c r="F1212" s="140"/>
      <c r="G1212" s="141"/>
      <c r="H1212" s="806">
        <v>0.02</v>
      </c>
      <c r="I1212" s="807"/>
    </row>
    <row r="1213" spans="1:9" ht="15" customHeight="1">
      <c r="A1213" s="48"/>
      <c r="B1213" s="48"/>
      <c r="C1213" s="48"/>
      <c r="D1213" s="48"/>
      <c r="E1213" s="48"/>
      <c r="F1213" s="48"/>
      <c r="G1213" s="48"/>
      <c r="H1213" s="48"/>
      <c r="I1213" s="48"/>
    </row>
    <row r="1214" spans="1:9" ht="15" customHeight="1">
      <c r="A1214" s="782" t="s">
        <v>267</v>
      </c>
      <c r="B1214" s="782"/>
      <c r="C1214" s="782"/>
      <c r="D1214" s="782"/>
      <c r="E1214" s="782"/>
      <c r="F1214" s="782"/>
      <c r="G1214" s="782"/>
      <c r="H1214" s="782"/>
      <c r="I1214" s="782"/>
    </row>
    <row r="1215" spans="1:9" ht="15" customHeight="1">
      <c r="A1215" s="782"/>
      <c r="B1215" s="782"/>
      <c r="C1215" s="782"/>
      <c r="D1215" s="782"/>
      <c r="E1215" s="782"/>
      <c r="F1215" s="782"/>
      <c r="G1215" s="782"/>
      <c r="H1215" s="782"/>
      <c r="I1215" s="782"/>
    </row>
    <row r="1216" spans="1:9" ht="15" customHeight="1">
      <c r="A1216" s="782"/>
      <c r="B1216" s="782"/>
      <c r="C1216" s="782"/>
      <c r="D1216" s="782"/>
      <c r="E1216" s="782"/>
      <c r="F1216" s="782"/>
      <c r="G1216" s="782"/>
      <c r="H1216" s="782"/>
      <c r="I1216" s="782"/>
    </row>
    <row r="1217" spans="1:9" ht="15" customHeight="1">
      <c r="A1217" s="782"/>
      <c r="B1217" s="782"/>
      <c r="C1217" s="782"/>
      <c r="D1217" s="782"/>
      <c r="E1217" s="782"/>
      <c r="F1217" s="782"/>
      <c r="G1217" s="782"/>
      <c r="H1217" s="782"/>
      <c r="I1217" s="782"/>
    </row>
    <row r="1218" spans="1:9" ht="15" customHeight="1">
      <c r="A1218" s="48"/>
      <c r="B1218" s="48"/>
      <c r="C1218" s="48"/>
      <c r="D1218" s="48"/>
      <c r="E1218" s="48"/>
      <c r="F1218" s="48"/>
      <c r="G1218" s="48"/>
      <c r="H1218" s="48"/>
      <c r="I1218" s="48"/>
    </row>
    <row r="1219" spans="1:9" ht="15" customHeight="1">
      <c r="A1219" s="142" t="s">
        <v>268</v>
      </c>
      <c r="B1219" s="782" t="s">
        <v>269</v>
      </c>
      <c r="C1219" s="782"/>
      <c r="D1219" s="782"/>
      <c r="E1219" s="782"/>
      <c r="F1219" s="782"/>
      <c r="G1219" s="782"/>
      <c r="H1219" s="782"/>
      <c r="I1219" s="782"/>
    </row>
    <row r="1220" spans="1:9" ht="15" customHeight="1">
      <c r="A1220" s="57"/>
      <c r="B1220" s="782"/>
      <c r="C1220" s="782"/>
      <c r="D1220" s="782"/>
      <c r="E1220" s="782"/>
      <c r="F1220" s="782"/>
      <c r="G1220" s="782"/>
      <c r="H1220" s="782"/>
      <c r="I1220" s="782"/>
    </row>
    <row r="1221" spans="1:9" ht="15" customHeight="1">
      <c r="A1221" s="252"/>
      <c r="B1221" s="224"/>
      <c r="C1221" s="48"/>
      <c r="D1221" s="48"/>
      <c r="E1221" s="48"/>
      <c r="F1221" s="48"/>
      <c r="G1221" s="48"/>
      <c r="H1221" s="48"/>
      <c r="I1221" s="48"/>
    </row>
    <row r="1222" spans="1:9" ht="15" customHeight="1">
      <c r="A1222" s="142" t="s">
        <v>270</v>
      </c>
      <c r="B1222" s="782" t="s">
        <v>271</v>
      </c>
      <c r="C1222" s="782"/>
      <c r="D1222" s="782"/>
      <c r="E1222" s="782"/>
      <c r="F1222" s="782"/>
      <c r="G1222" s="782"/>
      <c r="H1222" s="782"/>
      <c r="I1222" s="782"/>
    </row>
    <row r="1223" spans="1:9" ht="15" customHeight="1">
      <c r="A1223" s="253"/>
      <c r="B1223" s="782"/>
      <c r="C1223" s="782"/>
      <c r="D1223" s="782"/>
      <c r="E1223" s="782"/>
      <c r="F1223" s="782"/>
      <c r="G1223" s="782"/>
      <c r="H1223" s="782"/>
      <c r="I1223" s="782"/>
    </row>
    <row r="1224" spans="1:9" ht="15" customHeight="1">
      <c r="A1224" s="253"/>
      <c r="B1224" s="782"/>
      <c r="C1224" s="782"/>
      <c r="D1224" s="782"/>
      <c r="E1224" s="782"/>
      <c r="F1224" s="782"/>
      <c r="G1224" s="782"/>
      <c r="H1224" s="782"/>
      <c r="I1224" s="782"/>
    </row>
    <row r="1225" spans="1:9" ht="15" customHeight="1">
      <c r="A1225" s="48"/>
      <c r="B1225" s="48"/>
      <c r="C1225" s="48"/>
      <c r="D1225" s="48"/>
      <c r="E1225" s="48"/>
      <c r="F1225" s="48"/>
      <c r="G1225" s="48"/>
      <c r="H1225" s="48"/>
      <c r="I1225" s="48"/>
    </row>
    <row r="1226" spans="1:9" ht="15" customHeight="1">
      <c r="A1226" s="224" t="s">
        <v>354</v>
      </c>
      <c r="B1226" s="48"/>
      <c r="C1226" s="48"/>
      <c r="D1226" s="48"/>
      <c r="E1226" s="48"/>
      <c r="G1226" s="254">
        <f>RESUMO!$B$19</f>
        <v>0.03</v>
      </c>
      <c r="H1226" s="48"/>
    </row>
    <row r="1227" spans="1:9" ht="15" customHeight="1">
      <c r="A1227" s="48"/>
      <c r="B1227" s="48"/>
      <c r="C1227" s="48"/>
      <c r="D1227" s="48"/>
      <c r="E1227" s="48"/>
      <c r="F1227" s="48"/>
      <c r="G1227" s="48"/>
      <c r="H1227" s="48"/>
      <c r="I1227" s="48"/>
    </row>
    <row r="1228" spans="1:9" ht="15" customHeight="1">
      <c r="A1228" s="224"/>
      <c r="B1228" s="224"/>
      <c r="C1228" s="224"/>
      <c r="D1228" s="224"/>
      <c r="E1228" s="224"/>
      <c r="F1228" s="224"/>
      <c r="G1228" s="224"/>
      <c r="H1228" s="224"/>
      <c r="I1228" s="224"/>
    </row>
    <row r="1229" spans="1:9" ht="15" customHeight="1">
      <c r="A1229" s="124" t="s">
        <v>232</v>
      </c>
      <c r="B1229" s="125"/>
      <c r="C1229" s="125"/>
      <c r="D1229" s="125"/>
      <c r="E1229" s="125"/>
      <c r="F1229" s="125"/>
      <c r="G1229" s="125"/>
      <c r="H1229" s="143">
        <f>ROUND(((1+H1203+H1204+H1205)*(1+H1207)*(1+H1208))/(1-H1210-H1211-G1226-H1212)-1,4)</f>
        <v>0.30740000000000001</v>
      </c>
      <c r="I1229" s="126"/>
    </row>
    <row r="1230" spans="1:9" ht="15" customHeight="1">
      <c r="A1230" s="127"/>
      <c r="B1230" s="128"/>
      <c r="C1230" s="128"/>
      <c r="D1230" s="128"/>
      <c r="E1230" s="128"/>
      <c r="F1230" s="128"/>
      <c r="G1230" s="128"/>
      <c r="H1230" s="144">
        <f>H1229+1</f>
        <v>1.3073999999999999</v>
      </c>
      <c r="I1230" s="129" t="s">
        <v>95</v>
      </c>
    </row>
    <row r="1231" spans="1:9" ht="15" customHeight="1">
      <c r="A1231" s="224"/>
      <c r="B1231" s="224"/>
      <c r="C1231" s="224"/>
      <c r="D1231" s="224"/>
      <c r="E1231" s="224"/>
      <c r="F1231" s="224"/>
      <c r="G1231" s="225"/>
      <c r="H1231" s="224"/>
      <c r="I1231" s="225"/>
    </row>
    <row r="1232" spans="1:9" ht="15" customHeight="1">
      <c r="A1232" s="381"/>
      <c r="B1232" s="381"/>
      <c r="C1232" s="381"/>
      <c r="D1232" s="381"/>
      <c r="E1232" s="381"/>
      <c r="F1232" s="381"/>
      <c r="G1232" s="382"/>
      <c r="H1232" s="381"/>
      <c r="I1232" s="382"/>
    </row>
    <row r="1233" spans="1:9" ht="15" customHeight="1">
      <c r="A1233" s="50"/>
      <c r="B1233" s="50"/>
      <c r="C1233" s="50"/>
      <c r="D1233" s="50"/>
      <c r="E1233" s="50"/>
      <c r="F1233" s="50"/>
      <c r="G1233" s="50"/>
      <c r="H1233" s="50"/>
      <c r="I1233" s="50"/>
    </row>
    <row r="1234" spans="1:9" ht="15" customHeight="1">
      <c r="A1234" s="101"/>
      <c r="B1234" s="85"/>
      <c r="C1234" s="85"/>
      <c r="D1234" s="85"/>
      <c r="E1234" s="85"/>
      <c r="F1234" s="85"/>
      <c r="G1234" s="85"/>
      <c r="H1234" s="102"/>
      <c r="I1234" s="102"/>
    </row>
    <row r="1235" spans="1:9" ht="15" customHeight="1">
      <c r="A1235" s="93"/>
      <c r="B1235" s="93"/>
      <c r="C1235" s="93"/>
      <c r="D1235" s="93"/>
      <c r="E1235" s="93"/>
      <c r="F1235" s="93"/>
      <c r="G1235" s="94"/>
      <c r="H1235" s="93"/>
      <c r="I1235" s="94"/>
    </row>
    <row r="1236" spans="1:9" ht="15" customHeight="1">
      <c r="A1236" s="734" t="s">
        <v>164</v>
      </c>
      <c r="B1236" s="734"/>
      <c r="C1236" s="734"/>
      <c r="D1236" s="734"/>
      <c r="E1236" s="734"/>
      <c r="F1236" s="734"/>
      <c r="G1236" s="734"/>
      <c r="H1236" s="734"/>
      <c r="I1236" s="734"/>
    </row>
    <row r="1237" spans="1:9" ht="15" customHeight="1">
      <c r="A1237" s="56"/>
      <c r="B1237" s="56"/>
      <c r="C1237" s="56"/>
      <c r="D1237" s="56"/>
      <c r="E1237" s="56"/>
      <c r="F1237" s="56"/>
      <c r="G1237" s="83"/>
      <c r="H1237" s="56"/>
      <c r="I1237" s="83"/>
    </row>
    <row r="1238" spans="1:9" ht="15" customHeight="1">
      <c r="A1238" s="733">
        <f>A102</f>
        <v>11000</v>
      </c>
      <c r="B1238" s="734"/>
      <c r="C1238" s="734"/>
      <c r="D1238" s="734"/>
      <c r="E1238" s="734"/>
      <c r="F1238" s="734"/>
      <c r="G1238" s="734"/>
      <c r="H1238" s="734"/>
      <c r="I1238" s="734"/>
    </row>
    <row r="1239" spans="1:9" ht="15" customHeight="1">
      <c r="A1239" s="56"/>
      <c r="B1239" s="56"/>
      <c r="C1239" s="56"/>
      <c r="D1239" s="56"/>
      <c r="E1239" s="56"/>
      <c r="F1239" s="56"/>
      <c r="G1239" s="83"/>
      <c r="H1239" s="56"/>
      <c r="I1239" s="83"/>
    </row>
    <row r="1240" spans="1:9" ht="15" customHeight="1">
      <c r="A1240" s="798" t="str">
        <f>A100</f>
        <v>Canal Externo</v>
      </c>
      <c r="B1240" s="799"/>
      <c r="C1240" s="799"/>
      <c r="D1240" s="297"/>
      <c r="E1240" s="298"/>
      <c r="F1240" s="298"/>
      <c r="G1240" s="299"/>
      <c r="H1240" s="197"/>
      <c r="I1240" s="179"/>
    </row>
    <row r="1241" spans="1:9" ht="15" customHeight="1">
      <c r="A1241" s="165" t="s">
        <v>190</v>
      </c>
      <c r="B1241" s="182"/>
      <c r="C1241" s="182"/>
      <c r="D1241" s="182"/>
      <c r="E1241" s="182"/>
      <c r="F1241" s="182"/>
      <c r="G1241" s="183"/>
      <c r="H1241" s="130">
        <f>ROUND(H388*H1230,2)</f>
        <v>10.28</v>
      </c>
      <c r="I1241" s="32" t="s">
        <v>107</v>
      </c>
    </row>
    <row r="1242" spans="1:9" ht="15" customHeight="1">
      <c r="A1242" s="353" t="s">
        <v>501</v>
      </c>
      <c r="B1242" s="182"/>
      <c r="C1242" s="182"/>
      <c r="D1242" s="182"/>
      <c r="E1242" s="182"/>
      <c r="F1242" s="182"/>
      <c r="G1242" s="183"/>
      <c r="H1242" s="207">
        <f>H390</f>
        <v>10926874.699999999</v>
      </c>
      <c r="I1242" s="356" t="s">
        <v>13</v>
      </c>
    </row>
    <row r="1243" spans="1:9" ht="15" customHeight="1">
      <c r="A1243" s="353" t="s">
        <v>502</v>
      </c>
      <c r="B1243" s="354"/>
      <c r="C1243" s="354"/>
      <c r="D1243" s="354"/>
      <c r="E1243" s="354"/>
      <c r="F1243" s="354"/>
      <c r="G1243" s="463"/>
      <c r="H1243" s="207">
        <f>H404</f>
        <v>1467317.4349413961</v>
      </c>
      <c r="I1243" s="356" t="s">
        <v>13</v>
      </c>
    </row>
    <row r="1244" spans="1:9" ht="15" customHeight="1">
      <c r="A1244" s="353" t="s">
        <v>503</v>
      </c>
      <c r="B1244" s="354"/>
      <c r="C1244" s="354"/>
      <c r="D1244" s="354"/>
      <c r="E1244" s="354"/>
      <c r="F1244" s="354"/>
      <c r="G1244" s="463"/>
      <c r="H1244" s="697">
        <f>ROUND(H1241*H1242,2)</f>
        <v>112328271.92</v>
      </c>
      <c r="I1244" s="356" t="s">
        <v>171</v>
      </c>
    </row>
    <row r="1245" spans="1:9" ht="15" customHeight="1">
      <c r="A1245" s="353" t="s">
        <v>504</v>
      </c>
      <c r="B1245" s="354"/>
      <c r="C1245" s="354"/>
      <c r="D1245" s="354"/>
      <c r="E1245" s="354"/>
      <c r="F1245" s="354"/>
      <c r="G1245" s="463"/>
      <c r="H1245" s="695">
        <f>ROUND(H1241*H1243,2)</f>
        <v>15084023.23</v>
      </c>
      <c r="I1245" s="356" t="s">
        <v>171</v>
      </c>
    </row>
    <row r="1246" spans="1:9" ht="15" customHeight="1">
      <c r="A1246" s="355" t="s">
        <v>505</v>
      </c>
      <c r="B1246" s="192"/>
      <c r="C1246" s="192"/>
      <c r="D1246" s="192"/>
      <c r="E1246" s="192"/>
      <c r="F1246" s="192"/>
      <c r="G1246" s="193"/>
      <c r="H1246" s="696">
        <f>SUM(H1244:H1245)</f>
        <v>127412295.15000001</v>
      </c>
      <c r="I1246" s="357" t="s">
        <v>171</v>
      </c>
    </row>
    <row r="1247" spans="1:9" ht="15" customHeight="1">
      <c r="A1247" s="364"/>
      <c r="B1247" s="182"/>
      <c r="C1247" s="182"/>
      <c r="D1247" s="182"/>
      <c r="E1247" s="182"/>
      <c r="F1247" s="182"/>
      <c r="G1247" s="214"/>
      <c r="H1247" s="182"/>
      <c r="I1247" s="204"/>
    </row>
    <row r="1248" spans="1:9" ht="15" customHeight="1">
      <c r="A1248" s="798" t="str">
        <f>A436</f>
        <v>Canal Interno e Bacia de Manobra</v>
      </c>
      <c r="B1248" s="802"/>
      <c r="C1248" s="802"/>
      <c r="D1248" s="802"/>
      <c r="E1248" s="93"/>
      <c r="F1248" s="93"/>
      <c r="G1248" s="152"/>
      <c r="H1248" s="197"/>
      <c r="I1248" s="465"/>
    </row>
    <row r="1249" spans="1:9" ht="15" customHeight="1">
      <c r="A1249" s="165" t="s">
        <v>190</v>
      </c>
      <c r="B1249" s="182"/>
      <c r="C1249" s="182"/>
      <c r="D1249" s="182"/>
      <c r="E1249" s="182"/>
      <c r="F1249" s="182"/>
      <c r="G1249" s="214"/>
      <c r="H1249" s="130">
        <f>ROUND(H513*H1230,2)</f>
        <v>14.73</v>
      </c>
      <c r="I1249" s="32" t="s">
        <v>107</v>
      </c>
    </row>
    <row r="1250" spans="1:9" ht="15" customHeight="1">
      <c r="A1250" s="353" t="s">
        <v>501</v>
      </c>
      <c r="B1250" s="182"/>
      <c r="C1250" s="182"/>
      <c r="D1250" s="182"/>
      <c r="E1250" s="182"/>
      <c r="F1250" s="182"/>
      <c r="G1250" s="214"/>
      <c r="H1250" s="207">
        <f>H460</f>
        <v>5777037.71</v>
      </c>
      <c r="I1250" s="356" t="s">
        <v>13</v>
      </c>
    </row>
    <row r="1251" spans="1:9" ht="15" customHeight="1">
      <c r="A1251" s="353" t="s">
        <v>502</v>
      </c>
      <c r="B1251" s="354"/>
      <c r="C1251" s="354"/>
      <c r="D1251" s="354"/>
      <c r="E1251" s="354"/>
      <c r="F1251" s="354"/>
      <c r="G1251" s="429"/>
      <c r="H1251" s="207">
        <f>H529</f>
        <v>1658290.1845216802</v>
      </c>
      <c r="I1251" s="356" t="s">
        <v>13</v>
      </c>
    </row>
    <row r="1252" spans="1:9" ht="15" customHeight="1">
      <c r="A1252" s="353" t="s">
        <v>503</v>
      </c>
      <c r="B1252" s="354"/>
      <c r="C1252" s="354"/>
      <c r="D1252" s="354"/>
      <c r="E1252" s="354"/>
      <c r="F1252" s="354"/>
      <c r="G1252" s="429"/>
      <c r="H1252" s="697">
        <f>ROUND(H1249*H1250,2)</f>
        <v>85095765.469999999</v>
      </c>
      <c r="I1252" s="356" t="s">
        <v>171</v>
      </c>
    </row>
    <row r="1253" spans="1:9" ht="15" customHeight="1">
      <c r="A1253" s="353" t="s">
        <v>504</v>
      </c>
      <c r="B1253" s="354"/>
      <c r="C1253" s="354"/>
      <c r="D1253" s="354"/>
      <c r="E1253" s="354"/>
      <c r="F1253" s="354"/>
      <c r="G1253" s="429"/>
      <c r="H1253" s="695">
        <f>ROUND(H1249*H1251,2)</f>
        <v>24426614.420000002</v>
      </c>
      <c r="I1253" s="356" t="s">
        <v>171</v>
      </c>
    </row>
    <row r="1254" spans="1:9" ht="15" customHeight="1">
      <c r="A1254" s="355" t="s">
        <v>505</v>
      </c>
      <c r="B1254" s="192"/>
      <c r="C1254" s="192"/>
      <c r="D1254" s="192"/>
      <c r="E1254" s="192"/>
      <c r="F1254" s="192"/>
      <c r="G1254" s="243"/>
      <c r="H1254" s="696">
        <f>SUM(H1252:H1253)</f>
        <v>109522379.89</v>
      </c>
      <c r="I1254" s="357" t="s">
        <v>171</v>
      </c>
    </row>
    <row r="1255" spans="1:9" ht="15" customHeight="1">
      <c r="A1255" s="182"/>
      <c r="B1255" s="54"/>
      <c r="C1255" s="54"/>
      <c r="D1255" s="339"/>
      <c r="E1255" s="244"/>
      <c r="F1255" s="182"/>
      <c r="G1255" s="214"/>
      <c r="H1255" s="182"/>
      <c r="I1255" s="214"/>
    </row>
    <row r="1256" spans="1:9" ht="15" customHeight="1">
      <c r="A1256" s="803" t="str">
        <f>A536</f>
        <v>Canal Porto Novo</v>
      </c>
      <c r="B1256" s="796"/>
      <c r="C1256" s="796"/>
      <c r="D1256" s="340"/>
      <c r="E1256" s="96"/>
      <c r="F1256" s="96"/>
      <c r="G1256" s="300"/>
      <c r="H1256" s="197"/>
      <c r="I1256" s="359"/>
    </row>
    <row r="1257" spans="1:9" ht="15" customHeight="1">
      <c r="A1257" s="165" t="s">
        <v>190</v>
      </c>
      <c r="B1257" s="182"/>
      <c r="C1257" s="182"/>
      <c r="D1257" s="182"/>
      <c r="E1257" s="182"/>
      <c r="F1257" s="182"/>
      <c r="G1257" s="183"/>
      <c r="H1257" s="130">
        <f>ROUND(H613*H1230,2)</f>
        <v>18.739999999999998</v>
      </c>
      <c r="I1257" s="32" t="s">
        <v>107</v>
      </c>
    </row>
    <row r="1258" spans="1:9" ht="15" customHeight="1">
      <c r="A1258" s="353" t="s">
        <v>501</v>
      </c>
      <c r="B1258" s="182"/>
      <c r="C1258" s="182"/>
      <c r="D1258" s="182"/>
      <c r="E1258" s="182"/>
      <c r="F1258" s="182"/>
      <c r="G1258" s="183"/>
      <c r="H1258" s="207">
        <f>H615</f>
        <v>1891950.049868159</v>
      </c>
      <c r="I1258" s="356" t="s">
        <v>13</v>
      </c>
    </row>
    <row r="1259" spans="1:9" ht="15" customHeight="1">
      <c r="A1259" s="353" t="s">
        <v>502</v>
      </c>
      <c r="B1259" s="354"/>
      <c r="C1259" s="354"/>
      <c r="D1259" s="354"/>
      <c r="E1259" s="354"/>
      <c r="F1259" s="354"/>
      <c r="G1259" s="463"/>
      <c r="H1259" s="207">
        <f>H629</f>
        <v>148638.43194293871</v>
      </c>
      <c r="I1259" s="356" t="s">
        <v>13</v>
      </c>
    </row>
    <row r="1260" spans="1:9" ht="15" customHeight="1">
      <c r="A1260" s="353" t="s">
        <v>503</v>
      </c>
      <c r="B1260" s="354"/>
      <c r="C1260" s="354"/>
      <c r="D1260" s="354"/>
      <c r="E1260" s="354"/>
      <c r="F1260" s="354"/>
      <c r="G1260" s="463"/>
      <c r="H1260" s="697">
        <f>ROUND(H1257*H1258,2)</f>
        <v>35455143.93</v>
      </c>
      <c r="I1260" s="356" t="s">
        <v>171</v>
      </c>
    </row>
    <row r="1261" spans="1:9" ht="15" customHeight="1">
      <c r="A1261" s="353" t="s">
        <v>504</v>
      </c>
      <c r="B1261" s="354"/>
      <c r="C1261" s="354"/>
      <c r="D1261" s="354"/>
      <c r="E1261" s="354"/>
      <c r="F1261" s="354"/>
      <c r="G1261" s="463"/>
      <c r="H1261" s="695">
        <f>ROUND(H1257*H1259,2)</f>
        <v>2785484.21</v>
      </c>
      <c r="I1261" s="356" t="s">
        <v>171</v>
      </c>
    </row>
    <row r="1262" spans="1:9" ht="15" customHeight="1">
      <c r="A1262" s="355" t="s">
        <v>505</v>
      </c>
      <c r="B1262" s="192"/>
      <c r="C1262" s="192"/>
      <c r="D1262" s="192"/>
      <c r="E1262" s="192"/>
      <c r="F1262" s="192"/>
      <c r="G1262" s="193"/>
      <c r="H1262" s="696">
        <f>SUM(H1260:H1261)</f>
        <v>38240628.140000001</v>
      </c>
      <c r="I1262" s="357" t="s">
        <v>171</v>
      </c>
    </row>
    <row r="1263" spans="1:9" ht="15" customHeight="1">
      <c r="A1263" s="364"/>
      <c r="B1263" s="182"/>
      <c r="C1263" s="182"/>
      <c r="D1263" s="182"/>
      <c r="E1263" s="182"/>
      <c r="F1263" s="182"/>
      <c r="G1263" s="214"/>
      <c r="H1263" s="182"/>
      <c r="I1263" s="204"/>
    </row>
    <row r="1264" spans="1:9" ht="15" customHeight="1">
      <c r="A1264" s="795"/>
      <c r="B1264" s="796"/>
      <c r="C1264" s="796"/>
      <c r="D1264" s="340"/>
      <c r="E1264" s="96"/>
      <c r="F1264" s="96"/>
      <c r="G1264" s="300"/>
      <c r="H1264" s="197"/>
      <c r="I1264" s="359"/>
    </row>
    <row r="1265" spans="1:9" ht="15" customHeight="1">
      <c r="A1265" s="353"/>
      <c r="B1265" s="182"/>
      <c r="C1265" s="182"/>
      <c r="D1265" s="182"/>
      <c r="E1265" s="182"/>
      <c r="F1265" s="182"/>
      <c r="G1265" s="183"/>
      <c r="H1265" s="130"/>
      <c r="I1265" s="32"/>
    </row>
    <row r="1266" spans="1:9" ht="15" customHeight="1">
      <c r="A1266" s="353"/>
      <c r="B1266" s="182"/>
      <c r="C1266" s="182"/>
      <c r="D1266" s="182"/>
      <c r="E1266" s="182"/>
      <c r="F1266" s="182"/>
      <c r="G1266" s="183"/>
      <c r="H1266" s="207"/>
      <c r="I1266" s="356"/>
    </row>
    <row r="1267" spans="1:9" s="351" customFormat="1" ht="15" customHeight="1">
      <c r="A1267" s="353"/>
      <c r="B1267" s="354"/>
      <c r="C1267" s="354"/>
      <c r="D1267" s="354"/>
      <c r="E1267" s="354"/>
      <c r="F1267" s="354"/>
      <c r="G1267" s="463"/>
      <c r="H1267" s="207"/>
      <c r="I1267" s="356"/>
    </row>
    <row r="1268" spans="1:9" s="351" customFormat="1" ht="15" customHeight="1">
      <c r="A1268" s="353"/>
      <c r="B1268" s="354"/>
      <c r="C1268" s="354"/>
      <c r="D1268" s="354"/>
      <c r="E1268" s="354"/>
      <c r="F1268" s="354"/>
      <c r="G1268" s="463"/>
      <c r="H1268" s="697"/>
      <c r="I1268" s="356"/>
    </row>
    <row r="1269" spans="1:9" s="351" customFormat="1" ht="15" customHeight="1">
      <c r="A1269" s="353"/>
      <c r="B1269" s="354"/>
      <c r="C1269" s="354"/>
      <c r="D1269" s="354"/>
      <c r="E1269" s="354"/>
      <c r="F1269" s="354"/>
      <c r="G1269" s="463"/>
      <c r="H1269" s="695"/>
      <c r="I1269" s="356"/>
    </row>
    <row r="1270" spans="1:9" ht="15" customHeight="1">
      <c r="A1270" s="355"/>
      <c r="B1270" s="192"/>
      <c r="C1270" s="192"/>
      <c r="D1270" s="192"/>
      <c r="E1270" s="192"/>
      <c r="F1270" s="192"/>
      <c r="G1270" s="193"/>
      <c r="H1270" s="696"/>
      <c r="I1270" s="357"/>
    </row>
    <row r="1271" spans="1:9" ht="15" customHeight="1">
      <c r="A1271" s="377"/>
      <c r="B1271" s="182"/>
      <c r="C1271" s="182"/>
      <c r="D1271" s="182"/>
      <c r="E1271" s="182"/>
      <c r="F1271" s="182"/>
      <c r="G1271" s="214"/>
      <c r="H1271" s="182"/>
      <c r="I1271" s="204"/>
    </row>
    <row r="1272" spans="1:9" ht="15" customHeight="1">
      <c r="A1272" s="354"/>
      <c r="B1272" s="182"/>
      <c r="C1272" s="182"/>
      <c r="D1272" s="182"/>
      <c r="E1272" s="182"/>
      <c r="F1272" s="727" t="s">
        <v>300</v>
      </c>
      <c r="G1272" s="728"/>
      <c r="H1272" s="58">
        <f>SUM(H1262,H1254,H1246)</f>
        <v>275175303.18000001</v>
      </c>
      <c r="I1272" s="6" t="s">
        <v>171</v>
      </c>
    </row>
    <row r="1273" spans="1:9" ht="15" customHeight="1">
      <c r="A1273" s="354"/>
      <c r="B1273" s="182"/>
      <c r="C1273" s="182"/>
      <c r="D1273" s="182"/>
      <c r="E1273" s="182"/>
      <c r="F1273" s="40"/>
      <c r="G1273" s="347"/>
      <c r="H1273" s="235"/>
      <c r="I1273" s="394"/>
    </row>
    <row r="1274" spans="1:9" s="351" customFormat="1" ht="15" customHeight="1">
      <c r="A1274" s="354"/>
      <c r="B1274" s="354"/>
      <c r="C1274" s="354"/>
      <c r="D1274" s="354"/>
      <c r="E1274" s="354"/>
      <c r="F1274" s="366"/>
      <c r="G1274" s="347"/>
      <c r="H1274" s="235"/>
      <c r="I1274" s="399"/>
    </row>
    <row r="1275" spans="1:9" s="351" customFormat="1" ht="15" customHeight="1">
      <c r="A1275" s="354"/>
      <c r="B1275" s="354"/>
      <c r="C1275" s="354"/>
      <c r="D1275" s="354"/>
      <c r="E1275" s="354"/>
      <c r="F1275" s="366"/>
      <c r="G1275" s="347"/>
      <c r="H1275" s="235"/>
      <c r="I1275" s="399"/>
    </row>
    <row r="1276" spans="1:9" s="351" customFormat="1" ht="15" customHeight="1">
      <c r="A1276" s="354"/>
      <c r="B1276" s="354"/>
      <c r="C1276" s="354"/>
      <c r="D1276" s="354"/>
      <c r="E1276" s="354"/>
      <c r="F1276" s="366"/>
      <c r="G1276" s="347"/>
      <c r="H1276" s="235"/>
      <c r="I1276" s="399"/>
    </row>
    <row r="1277" spans="1:9" s="351" customFormat="1" ht="15" customHeight="1">
      <c r="A1277" s="354"/>
      <c r="B1277" s="354"/>
      <c r="C1277" s="354"/>
      <c r="D1277" s="354"/>
      <c r="E1277" s="354"/>
      <c r="F1277" s="366"/>
      <c r="G1277" s="347"/>
      <c r="H1277" s="235"/>
      <c r="I1277" s="399"/>
    </row>
    <row r="1278" spans="1:9" s="351" customFormat="1" ht="15" customHeight="1">
      <c r="A1278" s="354"/>
      <c r="B1278" s="354"/>
      <c r="C1278" s="354"/>
      <c r="D1278" s="354"/>
      <c r="E1278" s="354"/>
      <c r="F1278" s="366"/>
      <c r="G1278" s="347"/>
      <c r="H1278" s="235"/>
      <c r="I1278" s="399"/>
    </row>
    <row r="1279" spans="1:9" s="351" customFormat="1" ht="15" customHeight="1">
      <c r="A1279" s="354"/>
      <c r="B1279" s="354"/>
      <c r="C1279" s="354"/>
      <c r="D1279" s="354"/>
      <c r="E1279" s="354"/>
      <c r="F1279" s="366"/>
      <c r="G1279" s="347"/>
      <c r="H1279" s="235"/>
      <c r="I1279" s="399"/>
    </row>
    <row r="1280" spans="1:9" s="351" customFormat="1" ht="15" customHeight="1">
      <c r="A1280" s="354"/>
      <c r="B1280" s="354"/>
      <c r="C1280" s="354"/>
      <c r="D1280" s="354"/>
      <c r="E1280" s="354"/>
      <c r="F1280" s="366"/>
      <c r="G1280" s="347"/>
      <c r="H1280" s="235"/>
      <c r="I1280" s="399"/>
    </row>
    <row r="1281" spans="1:9" s="351" customFormat="1" ht="15" customHeight="1">
      <c r="A1281" s="354"/>
      <c r="B1281" s="354"/>
      <c r="C1281" s="354"/>
      <c r="D1281" s="354"/>
      <c r="E1281" s="354"/>
      <c r="F1281" s="366"/>
      <c r="G1281" s="347"/>
      <c r="H1281" s="235"/>
      <c r="I1281" s="399"/>
    </row>
    <row r="1282" spans="1:9" s="351" customFormat="1" ht="15" customHeight="1">
      <c r="A1282" s="354"/>
      <c r="B1282" s="354"/>
      <c r="C1282" s="354"/>
      <c r="D1282" s="354"/>
      <c r="E1282" s="354"/>
      <c r="F1282" s="366"/>
      <c r="G1282" s="347"/>
      <c r="H1282" s="235"/>
      <c r="I1282" s="399"/>
    </row>
    <row r="1283" spans="1:9" s="351" customFormat="1" ht="15" customHeight="1">
      <c r="A1283" s="354"/>
      <c r="B1283" s="354"/>
      <c r="C1283" s="354"/>
      <c r="D1283" s="354"/>
      <c r="E1283" s="354"/>
      <c r="F1283" s="366"/>
      <c r="G1283" s="347"/>
      <c r="H1283" s="235"/>
      <c r="I1283" s="399"/>
    </row>
    <row r="1284" spans="1:9" s="351" customFormat="1" ht="15" customHeight="1">
      <c r="A1284" s="378"/>
      <c r="B1284" s="378"/>
      <c r="C1284" s="378"/>
      <c r="D1284" s="378"/>
      <c r="E1284" s="378"/>
      <c r="F1284" s="375"/>
      <c r="G1284" s="699"/>
      <c r="H1284" s="700"/>
      <c r="I1284" s="701"/>
    </row>
    <row r="1285" spans="1:9" s="351" customFormat="1" ht="15" customHeight="1">
      <c r="A1285" s="354"/>
      <c r="B1285" s="354"/>
      <c r="C1285" s="354"/>
      <c r="D1285" s="354"/>
      <c r="E1285" s="354"/>
      <c r="F1285" s="366"/>
      <c r="G1285" s="347"/>
      <c r="H1285" s="235"/>
      <c r="I1285" s="399"/>
    </row>
    <row r="1286" spans="1:9" ht="15" customHeight="1">
      <c r="A1286" s="733" t="str">
        <f>A638</f>
        <v>DRAGA BACKHOE</v>
      </c>
      <c r="B1286" s="734"/>
      <c r="C1286" s="734"/>
      <c r="D1286" s="734"/>
      <c r="E1286" s="734"/>
      <c r="F1286" s="734"/>
      <c r="G1286" s="734"/>
      <c r="H1286" s="734"/>
      <c r="I1286" s="734"/>
    </row>
    <row r="1287" spans="1:9" ht="15" customHeight="1">
      <c r="A1287" s="182"/>
      <c r="B1287" s="54"/>
      <c r="C1287" s="54"/>
      <c r="D1287" s="339"/>
      <c r="E1287" s="244"/>
      <c r="F1287" s="182"/>
      <c r="G1287" s="214"/>
      <c r="H1287" s="182"/>
      <c r="I1287" s="214"/>
    </row>
    <row r="1288" spans="1:9" ht="15" customHeight="1">
      <c r="A1288" s="257" t="s">
        <v>360</v>
      </c>
      <c r="B1288" s="258"/>
      <c r="C1288" s="341" t="str">
        <f>A636</f>
        <v>Berços Porto Novo</v>
      </c>
      <c r="D1288" s="258"/>
      <c r="E1288" s="258"/>
      <c r="F1288" s="258"/>
      <c r="G1288" s="259"/>
      <c r="H1288" s="342"/>
      <c r="I1288" s="359"/>
    </row>
    <row r="1289" spans="1:9" s="351" customFormat="1" ht="15" customHeight="1">
      <c r="A1289" s="353" t="s">
        <v>190</v>
      </c>
      <c r="B1289" s="182"/>
      <c r="C1289" s="182"/>
      <c r="D1289" s="182"/>
      <c r="E1289" s="182"/>
      <c r="F1289" s="182"/>
      <c r="G1289" s="214"/>
      <c r="H1289" s="42">
        <f>ROUND(H1154*H1230,2)</f>
        <v>40.590000000000003</v>
      </c>
      <c r="I1289" s="32" t="s">
        <v>107</v>
      </c>
    </row>
    <row r="1290" spans="1:9" s="351" customFormat="1" ht="15" customHeight="1">
      <c r="A1290" s="353" t="s">
        <v>501</v>
      </c>
      <c r="B1290" s="182"/>
      <c r="C1290" s="182"/>
      <c r="D1290" s="182"/>
      <c r="E1290" s="182"/>
      <c r="F1290" s="182"/>
      <c r="G1290" s="214"/>
      <c r="H1290" s="207">
        <f>H1156</f>
        <v>141122.70013184127</v>
      </c>
      <c r="I1290" s="356" t="s">
        <v>13</v>
      </c>
    </row>
    <row r="1291" spans="1:9" s="351" customFormat="1" ht="15" customHeight="1">
      <c r="A1291" s="353" t="s">
        <v>502</v>
      </c>
      <c r="B1291" s="354"/>
      <c r="C1291" s="354"/>
      <c r="D1291" s="354"/>
      <c r="E1291" s="354"/>
      <c r="F1291" s="354"/>
      <c r="G1291" s="429"/>
      <c r="H1291" s="207">
        <f>H1170</f>
        <v>12688.441211885463</v>
      </c>
      <c r="I1291" s="356" t="s">
        <v>13</v>
      </c>
    </row>
    <row r="1292" spans="1:9" s="351" customFormat="1" ht="15" customHeight="1">
      <c r="A1292" s="353" t="s">
        <v>503</v>
      </c>
      <c r="B1292" s="354"/>
      <c r="C1292" s="354"/>
      <c r="D1292" s="354"/>
      <c r="E1292" s="354"/>
      <c r="F1292" s="354"/>
      <c r="G1292" s="429"/>
      <c r="H1292" s="695">
        <f>ROUND(H1289*H1290,2)</f>
        <v>5728170.4000000004</v>
      </c>
      <c r="I1292" s="356" t="s">
        <v>171</v>
      </c>
    </row>
    <row r="1293" spans="1:9" s="351" customFormat="1" ht="15" customHeight="1">
      <c r="A1293" s="353" t="s">
        <v>504</v>
      </c>
      <c r="B1293" s="354"/>
      <c r="C1293" s="354"/>
      <c r="D1293" s="354"/>
      <c r="E1293" s="354"/>
      <c r="F1293" s="354"/>
      <c r="G1293" s="429"/>
      <c r="H1293" s="695">
        <f>ROUND(H1289*H1291,2)</f>
        <v>515023.83</v>
      </c>
      <c r="I1293" s="356" t="s">
        <v>171</v>
      </c>
    </row>
    <row r="1294" spans="1:9" ht="15" customHeight="1">
      <c r="A1294" s="355" t="s">
        <v>505</v>
      </c>
      <c r="B1294" s="192"/>
      <c r="C1294" s="192"/>
      <c r="D1294" s="192"/>
      <c r="E1294" s="192"/>
      <c r="F1294" s="192"/>
      <c r="G1294" s="243"/>
      <c r="H1294" s="696">
        <f>SUM(H1292:H1293)</f>
        <v>6243194.2300000004</v>
      </c>
      <c r="I1294" s="357" t="s">
        <v>171</v>
      </c>
    </row>
    <row r="1295" spans="1:9" ht="15" customHeight="1">
      <c r="A1295" s="377"/>
      <c r="B1295" s="377"/>
      <c r="C1295" s="377"/>
      <c r="D1295" s="377"/>
      <c r="E1295" s="377"/>
      <c r="F1295" s="377"/>
      <c r="G1295" s="422"/>
      <c r="H1295" s="428"/>
      <c r="I1295" s="422"/>
    </row>
    <row r="1296" spans="1:9" ht="15" customHeight="1">
      <c r="A1296" s="182"/>
      <c r="B1296" s="54"/>
      <c r="C1296" s="54"/>
      <c r="D1296" s="339"/>
      <c r="E1296" s="244"/>
      <c r="F1296" s="727" t="s">
        <v>300</v>
      </c>
      <c r="G1296" s="763"/>
      <c r="H1296" s="58">
        <f>SUM(H1294)</f>
        <v>6243194.2300000004</v>
      </c>
      <c r="I1296" s="404" t="s">
        <v>171</v>
      </c>
    </row>
    <row r="1297" spans="1:9" s="351" customFormat="1" ht="15" customHeight="1">
      <c r="A1297" s="354"/>
      <c r="B1297" s="54"/>
      <c r="C1297" s="54"/>
      <c r="D1297" s="339"/>
      <c r="E1297" s="244"/>
      <c r="F1297" s="261"/>
      <c r="G1297" s="261"/>
      <c r="H1297" s="235"/>
      <c r="I1297" s="399"/>
    </row>
    <row r="1298" spans="1:9" s="145" customFormat="1" ht="15" customHeight="1">
      <c r="A1298" s="354"/>
      <c r="B1298" s="54"/>
      <c r="C1298" s="54"/>
      <c r="D1298" s="339"/>
      <c r="E1298" s="244"/>
      <c r="F1298" s="366"/>
      <c r="G1298" s="347"/>
      <c r="H1298" s="235"/>
      <c r="I1298" s="399"/>
    </row>
    <row r="1299" spans="1:9" s="493" customFormat="1" ht="15" customHeight="1">
      <c r="A1299" s="182"/>
      <c r="B1299" s="54"/>
      <c r="C1299" s="54"/>
      <c r="D1299" s="339"/>
      <c r="E1299" s="724" t="s">
        <v>191</v>
      </c>
      <c r="F1299" s="724"/>
      <c r="G1299" s="724"/>
      <c r="H1299" s="713">
        <f>SUM(H1272,H1296)</f>
        <v>281418497.41000003</v>
      </c>
      <c r="I1299" s="714"/>
    </row>
    <row r="1300" spans="1:9" s="493" customFormat="1" ht="15" customHeight="1">
      <c r="A1300" s="381"/>
      <c r="B1300" s="54"/>
      <c r="C1300" s="54"/>
      <c r="D1300" s="339"/>
      <c r="E1300" s="705"/>
      <c r="F1300" s="705"/>
      <c r="G1300" s="705"/>
      <c r="H1300" s="706"/>
      <c r="I1300" s="706"/>
    </row>
    <row r="1301" spans="1:9" s="493" customFormat="1" ht="15" customHeight="1">
      <c r="A1301" s="381"/>
      <c r="B1301" s="54"/>
      <c r="C1301" s="54"/>
      <c r="D1301" s="339"/>
      <c r="E1301" s="705"/>
      <c r="F1301" s="705"/>
      <c r="G1301" s="705"/>
      <c r="H1301" s="706"/>
      <c r="I1301" s="706"/>
    </row>
    <row r="1302" spans="1:9" s="493" customFormat="1" ht="15" customHeight="1">
      <c r="A1302"/>
      <c r="B1302"/>
      <c r="C1302"/>
      <c r="D1302"/>
      <c r="E1302"/>
      <c r="F1302"/>
      <c r="G1302"/>
      <c r="H1302"/>
      <c r="I1302"/>
    </row>
    <row r="1303" spans="1:9" s="493" customFormat="1" ht="15" customHeight="1">
      <c r="A1303" s="731">
        <f>A1238</f>
        <v>11000</v>
      </c>
      <c r="B1303" s="732"/>
      <c r="C1303" s="732"/>
      <c r="D1303" s="732"/>
      <c r="E1303" s="203"/>
      <c r="F1303" s="203"/>
      <c r="G1303" s="423">
        <f>ROUNDUP(SUM(H406,H531,H631),0)</f>
        <v>271</v>
      </c>
      <c r="H1303" s="729">
        <f>G1303/365.25*12</f>
        <v>8.9034907597535948</v>
      </c>
      <c r="I1303" s="730"/>
    </row>
    <row r="1304" spans="1:9" s="493" customFormat="1" ht="15" customHeight="1">
      <c r="A1304" s="200" t="s">
        <v>361</v>
      </c>
      <c r="B1304" s="203"/>
      <c r="C1304" s="203"/>
      <c r="D1304" s="203"/>
      <c r="E1304" s="203"/>
      <c r="F1304" s="203"/>
      <c r="G1304" s="423">
        <f>ROUNDUP(SUM(H1172),0)</f>
        <v>155</v>
      </c>
      <c r="H1304" s="729">
        <f>G1304/365.25*12</f>
        <v>5.0924024640657084</v>
      </c>
      <c r="I1304" s="730"/>
    </row>
    <row r="1305" spans="1:9" s="493" customFormat="1" ht="15" customHeight="1">
      <c r="A1305" s="354"/>
      <c r="B1305" s="354"/>
      <c r="C1305" s="354"/>
      <c r="D1305" s="354"/>
      <c r="E1305" s="354"/>
      <c r="F1305" s="354"/>
      <c r="G1305" s="703"/>
      <c r="H1305" s="704"/>
      <c r="I1305" s="704"/>
    </row>
    <row r="1306" spans="1:9" s="493" customFormat="1" ht="15" customHeight="1">
      <c r="A1306" s="354"/>
      <c r="B1306" s="354"/>
      <c r="C1306" s="354"/>
      <c r="D1306" s="354"/>
      <c r="E1306" s="354"/>
      <c r="F1306" s="354"/>
      <c r="G1306" s="703"/>
      <c r="H1306" s="704"/>
      <c r="I1306" s="704"/>
    </row>
    <row r="1307" spans="1:9" s="493" customFormat="1" ht="15" customHeight="1">
      <c r="A1307" s="354"/>
      <c r="B1307" s="354"/>
      <c r="C1307" s="354"/>
      <c r="D1307" s="354"/>
      <c r="E1307" s="354"/>
      <c r="F1307" s="354"/>
      <c r="G1307" s="703"/>
      <c r="H1307" s="704"/>
      <c r="I1307" s="704"/>
    </row>
    <row r="1308" spans="1:9" s="493" customFormat="1" ht="15" customHeight="1">
      <c r="A1308"/>
      <c r="B1308" s="44"/>
      <c r="C1308" s="44"/>
      <c r="D1308" s="44"/>
      <c r="E1308" s="44"/>
      <c r="F1308" s="44"/>
      <c r="G1308" s="45"/>
      <c r="H1308" s="44"/>
      <c r="I1308" s="225"/>
    </row>
    <row r="1309" spans="1:9" ht="15" customHeight="1">
      <c r="A1309" s="436" t="s">
        <v>199</v>
      </c>
      <c r="B1309" s="437"/>
      <c r="C1309" s="438"/>
      <c r="D1309" s="438"/>
      <c r="E1309" s="439"/>
      <c r="F1309" s="440"/>
      <c r="G1309" s="441"/>
      <c r="H1309" s="440"/>
      <c r="I1309" s="343"/>
    </row>
    <row r="1310" spans="1:9" ht="15" customHeight="1">
      <c r="A1310" s="442" t="s">
        <v>423</v>
      </c>
      <c r="B1310" s="443"/>
      <c r="C1310" s="443"/>
      <c r="D1310" s="443"/>
      <c r="E1310" s="443"/>
      <c r="F1310" s="444"/>
      <c r="G1310" s="445"/>
      <c r="H1310" s="444"/>
      <c r="I1310" s="446"/>
    </row>
    <row r="1311" spans="1:9" ht="15" customHeight="1">
      <c r="A1311" s="447" t="s">
        <v>513</v>
      </c>
      <c r="B1311" s="445"/>
      <c r="C1311" s="445"/>
      <c r="D1311" s="445"/>
      <c r="E1311" s="445"/>
      <c r="F1311" s="444"/>
      <c r="G1311" s="445"/>
      <c r="H1311" s="448"/>
      <c r="I1311" s="446"/>
    </row>
    <row r="1312" spans="1:9" ht="15" customHeight="1">
      <c r="A1312" s="449">
        <f>H1303</f>
        <v>8.9034907597535948</v>
      </c>
      <c r="B1312" s="450" t="s">
        <v>424</v>
      </c>
      <c r="C1312" s="450"/>
      <c r="D1312" s="450"/>
      <c r="E1312" s="450"/>
      <c r="F1312" s="451"/>
      <c r="G1312" s="450"/>
      <c r="H1312" s="451"/>
      <c r="I1312" s="452"/>
    </row>
    <row r="1313" spans="1:9" ht="15" customHeight="1">
      <c r="A1313" s="493"/>
      <c r="B1313" s="493"/>
      <c r="C1313" s="493"/>
      <c r="D1313" s="493"/>
      <c r="E1313" s="493"/>
      <c r="F1313" s="493"/>
      <c r="G1313" s="493"/>
      <c r="H1313" s="493"/>
      <c r="I1313" s="493"/>
    </row>
    <row r="1314" spans="1:9" ht="15" customHeight="1">
      <c r="A1314" s="493"/>
      <c r="B1314" s="493"/>
      <c r="C1314" s="493"/>
      <c r="D1314" s="493"/>
      <c r="E1314" s="493"/>
      <c r="F1314" s="493"/>
      <c r="G1314" s="493"/>
      <c r="H1314" s="493"/>
      <c r="I1314" s="493"/>
    </row>
    <row r="1315" spans="1:9" ht="15" customHeight="1">
      <c r="A1315" s="493"/>
      <c r="B1315" s="493"/>
      <c r="C1315" s="493"/>
      <c r="D1315" s="493"/>
      <c r="E1315" s="493"/>
      <c r="F1315" s="493"/>
      <c r="G1315" s="493"/>
      <c r="H1315" s="493"/>
      <c r="I1315" s="493"/>
    </row>
    <row r="1316" spans="1:9" ht="15" customHeight="1">
      <c r="A1316" s="493"/>
      <c r="B1316" s="493"/>
      <c r="C1316" s="493"/>
      <c r="D1316" s="493"/>
      <c r="E1316" s="493"/>
      <c r="F1316" s="493"/>
      <c r="G1316" s="493"/>
      <c r="H1316" s="493"/>
      <c r="I1316" s="493"/>
    </row>
    <row r="1317" spans="1:9" s="351" customFormat="1" ht="15" customHeight="1">
      <c r="A1317" s="493"/>
      <c r="B1317" s="493"/>
      <c r="C1317" s="493"/>
      <c r="D1317" s="493"/>
      <c r="E1317" s="493"/>
      <c r="F1317" s="493"/>
      <c r="G1317" s="493"/>
      <c r="H1317" s="493"/>
      <c r="I1317" s="493"/>
    </row>
    <row r="1318" spans="1:9" s="351" customFormat="1" ht="15" customHeight="1">
      <c r="A1318" s="493"/>
      <c r="B1318" s="493"/>
      <c r="C1318" s="493"/>
      <c r="D1318" s="493"/>
      <c r="E1318" s="493"/>
      <c r="F1318" s="493"/>
      <c r="G1318" s="493"/>
      <c r="H1318" s="493"/>
      <c r="I1318" s="493"/>
    </row>
    <row r="1319" spans="1:9" s="351" customFormat="1" ht="15" customHeight="1">
      <c r="A1319" s="493"/>
      <c r="B1319" s="493"/>
      <c r="C1319" s="493"/>
      <c r="D1319" s="493"/>
      <c r="E1319" s="493"/>
      <c r="F1319" s="493"/>
      <c r="G1319" s="493"/>
      <c r="H1319" s="493"/>
      <c r="I1319" s="493"/>
    </row>
    <row r="1320" spans="1:9" s="351" customFormat="1" ht="15" customHeight="1">
      <c r="A1320" s="493"/>
      <c r="B1320" s="493"/>
      <c r="C1320" s="493"/>
      <c r="D1320" s="493"/>
      <c r="E1320" s="493"/>
      <c r="F1320" s="493"/>
      <c r="G1320" s="493"/>
      <c r="H1320" s="493"/>
      <c r="I1320" s="493"/>
    </row>
    <row r="1321" spans="1:9" s="351" customFormat="1" ht="15" customHeight="1">
      <c r="A1321" s="493"/>
      <c r="B1321" s="493"/>
      <c r="C1321" s="493"/>
      <c r="D1321" s="493"/>
      <c r="E1321" s="493"/>
      <c r="F1321" s="493"/>
      <c r="G1321" s="493"/>
      <c r="H1321" s="493"/>
      <c r="I1321" s="493"/>
    </row>
    <row r="1322" spans="1:9" s="351" customFormat="1" ht="15" customHeight="1">
      <c r="A1322" s="493"/>
      <c r="B1322" s="493"/>
      <c r="C1322" s="493"/>
      <c r="D1322" s="493"/>
      <c r="E1322" s="493"/>
      <c r="F1322" s="493"/>
      <c r="G1322" s="493"/>
      <c r="H1322" s="493"/>
      <c r="I1322" s="493"/>
    </row>
    <row r="1323" spans="1:9" s="351" customFormat="1" ht="15" customHeight="1">
      <c r="A1323" s="493"/>
      <c r="B1323" s="493"/>
      <c r="C1323" s="493"/>
      <c r="D1323" s="493"/>
      <c r="E1323" s="493"/>
      <c r="F1323" s="493"/>
      <c r="G1323" s="493"/>
      <c r="H1323" s="493"/>
      <c r="I1323" s="493"/>
    </row>
    <row r="1324" spans="1:9" s="351" customFormat="1" ht="15" customHeight="1">
      <c r="A1324" s="493"/>
      <c r="B1324" s="493"/>
      <c r="C1324" s="493"/>
      <c r="D1324" s="493"/>
      <c r="E1324" s="493"/>
      <c r="F1324" s="493"/>
      <c r="G1324" s="493"/>
      <c r="H1324" s="493"/>
      <c r="I1324" s="493"/>
    </row>
    <row r="1325" spans="1:9" s="351" customFormat="1" ht="15" customHeight="1">
      <c r="A1325" s="493"/>
      <c r="B1325" s="493"/>
      <c r="C1325" s="493"/>
      <c r="D1325" s="493"/>
      <c r="E1325" s="493"/>
      <c r="F1325" s="493"/>
      <c r="G1325" s="493"/>
      <c r="H1325" s="493"/>
      <c r="I1325" s="493"/>
    </row>
    <row r="1326" spans="1:9" s="351" customFormat="1" ht="15" customHeight="1">
      <c r="A1326" s="493"/>
      <c r="B1326" s="493"/>
      <c r="C1326" s="493"/>
      <c r="D1326" s="493"/>
      <c r="E1326" s="493"/>
      <c r="F1326" s="493"/>
      <c r="G1326" s="493"/>
      <c r="H1326" s="493"/>
      <c r="I1326" s="493"/>
    </row>
    <row r="1327" spans="1:9" s="351" customFormat="1" ht="15" customHeight="1">
      <c r="A1327" s="493"/>
      <c r="B1327" s="493"/>
      <c r="C1327" s="493"/>
      <c r="D1327" s="493"/>
      <c r="E1327" s="493"/>
      <c r="F1327" s="493"/>
      <c r="G1327" s="493"/>
      <c r="H1327" s="493"/>
      <c r="I1327" s="493"/>
    </row>
    <row r="1328" spans="1:9" s="351" customFormat="1" ht="15" customHeight="1">
      <c r="A1328" s="493"/>
      <c r="B1328" s="493"/>
      <c r="C1328" s="493"/>
      <c r="D1328" s="493"/>
      <c r="E1328" s="493"/>
      <c r="F1328" s="493"/>
      <c r="G1328" s="493"/>
      <c r="H1328" s="493"/>
      <c r="I1328" s="493"/>
    </row>
    <row r="1329" spans="1:9" s="351" customFormat="1" ht="15" customHeight="1">
      <c r="A1329" s="493"/>
      <c r="B1329" s="493"/>
      <c r="C1329" s="493"/>
      <c r="D1329" s="493"/>
      <c r="E1329" s="493"/>
      <c r="F1329" s="493"/>
      <c r="G1329" s="493"/>
      <c r="H1329" s="493"/>
      <c r="I1329" s="493"/>
    </row>
    <row r="1330" spans="1:9" s="351" customFormat="1" ht="15" customHeight="1">
      <c r="A1330" s="493"/>
      <c r="B1330" s="493"/>
      <c r="C1330" s="493"/>
      <c r="D1330" s="493"/>
      <c r="E1330" s="493"/>
      <c r="F1330" s="493"/>
      <c r="G1330" s="493"/>
      <c r="H1330" s="493"/>
      <c r="I1330" s="493"/>
    </row>
    <row r="1331" spans="1:9" s="351" customFormat="1" ht="15" customHeight="1">
      <c r="A1331" s="493"/>
      <c r="B1331" s="493"/>
      <c r="C1331" s="493"/>
      <c r="D1331" s="493"/>
      <c r="E1331" s="493"/>
      <c r="F1331" s="493"/>
      <c r="G1331" s="493"/>
      <c r="H1331" s="493"/>
      <c r="I1331" s="493"/>
    </row>
    <row r="1332" spans="1:9" s="351" customFormat="1" ht="15" customHeight="1">
      <c r="A1332" s="493"/>
      <c r="B1332" s="493"/>
      <c r="C1332" s="493"/>
      <c r="D1332" s="493"/>
      <c r="E1332" s="493"/>
      <c r="F1332" s="493"/>
      <c r="G1332" s="493"/>
      <c r="H1332" s="493"/>
      <c r="I1332" s="493"/>
    </row>
    <row r="1333" spans="1:9" s="351" customFormat="1" ht="15" customHeight="1">
      <c r="A1333" s="493"/>
      <c r="B1333" s="493"/>
      <c r="C1333" s="493"/>
      <c r="D1333" s="493"/>
      <c r="E1333" s="493"/>
      <c r="F1333" s="493"/>
      <c r="G1333" s="493"/>
      <c r="H1333" s="493"/>
      <c r="I1333" s="493"/>
    </row>
    <row r="1334" spans="1:9" ht="15" customHeight="1">
      <c r="A1334" s="702"/>
      <c r="B1334" s="702"/>
      <c r="C1334" s="702"/>
      <c r="D1334" s="702"/>
      <c r="E1334" s="702"/>
      <c r="F1334" s="702"/>
      <c r="G1334" s="702"/>
      <c r="H1334" s="702"/>
      <c r="I1334" s="702"/>
    </row>
    <row r="1335" spans="1:9" ht="15" customHeight="1">
      <c r="A1335" s="366"/>
      <c r="B1335" s="366"/>
      <c r="C1335" s="366"/>
      <c r="D1335" s="366"/>
      <c r="E1335" s="366"/>
      <c r="F1335" s="366"/>
      <c r="G1335" s="368"/>
      <c r="H1335" s="366"/>
      <c r="I1335" s="429"/>
    </row>
    <row r="1336" spans="1:9" ht="15" customHeight="1">
      <c r="A1336" s="734" t="s">
        <v>397</v>
      </c>
      <c r="B1336" s="734"/>
      <c r="C1336" s="734"/>
      <c r="D1336" s="734"/>
      <c r="E1336" s="734"/>
      <c r="F1336" s="734"/>
      <c r="G1336" s="734"/>
      <c r="H1336" s="734"/>
      <c r="I1336" s="734"/>
    </row>
    <row r="1337" spans="1:9" ht="15" customHeight="1">
      <c r="A1337" s="354"/>
      <c r="B1337" s="354"/>
      <c r="C1337" s="354"/>
      <c r="D1337" s="354"/>
      <c r="E1337" s="354"/>
      <c r="F1337" s="354"/>
      <c r="G1337" s="398"/>
      <c r="H1337" s="354"/>
      <c r="I1337" s="398"/>
    </row>
    <row r="1338" spans="1:9" ht="15" customHeight="1">
      <c r="A1338" s="739" t="s">
        <v>398</v>
      </c>
      <c r="B1338" s="739"/>
      <c r="C1338" s="739"/>
      <c r="D1338" s="739"/>
      <c r="E1338" s="739"/>
      <c r="F1338" s="739"/>
      <c r="G1338" s="739"/>
      <c r="H1338" s="739"/>
      <c r="I1338" s="739"/>
    </row>
    <row r="1339" spans="1:9" ht="15" customHeight="1">
      <c r="A1339" s="739"/>
      <c r="B1339" s="739"/>
      <c r="C1339" s="739"/>
      <c r="D1339" s="739"/>
      <c r="E1339" s="739"/>
      <c r="F1339" s="739"/>
      <c r="G1339" s="739"/>
      <c r="H1339" s="739"/>
      <c r="I1339" s="739"/>
    </row>
    <row r="1340" spans="1:9" ht="15" customHeight="1">
      <c r="A1340" s="739"/>
      <c r="B1340" s="739"/>
      <c r="C1340" s="739"/>
      <c r="D1340" s="739"/>
      <c r="E1340" s="739"/>
      <c r="F1340" s="739"/>
      <c r="G1340" s="739"/>
      <c r="H1340" s="739"/>
      <c r="I1340" s="739"/>
    </row>
    <row r="1341" spans="1:9" ht="15" customHeight="1">
      <c r="A1341" s="17"/>
      <c r="B1341" s="17"/>
      <c r="C1341" s="17"/>
      <c r="D1341" s="17"/>
      <c r="E1341" s="17"/>
      <c r="F1341" s="17"/>
      <c r="G1341" s="18"/>
      <c r="H1341" s="17"/>
      <c r="I1341" s="18"/>
    </row>
    <row r="1342" spans="1:9" ht="15" customHeight="1">
      <c r="A1342" s="783">
        <f>A102</f>
        <v>11000</v>
      </c>
      <c r="B1342" s="783"/>
      <c r="C1342" s="783"/>
      <c r="D1342" s="783"/>
      <c r="E1342" s="783"/>
      <c r="F1342" s="783"/>
      <c r="G1342" s="783"/>
      <c r="H1342" s="783"/>
      <c r="I1342" s="783"/>
    </row>
    <row r="1343" spans="1:9" ht="15" customHeight="1">
      <c r="A1343" s="352"/>
      <c r="B1343" s="352"/>
      <c r="C1343" s="352"/>
      <c r="D1343" s="352"/>
      <c r="E1343" s="352"/>
      <c r="F1343" s="352"/>
      <c r="G1343" s="374"/>
      <c r="H1343" s="352"/>
      <c r="I1343" s="374"/>
    </row>
    <row r="1344" spans="1:9" ht="15" customHeight="1">
      <c r="A1344" s="358" t="s">
        <v>274</v>
      </c>
      <c r="B1344" s="377"/>
      <c r="C1344" s="784" t="s">
        <v>275</v>
      </c>
      <c r="D1344" s="784"/>
      <c r="E1344" s="784"/>
      <c r="F1344" s="784"/>
      <c r="G1344" s="785"/>
      <c r="H1344" s="41">
        <f>IF(A102&lt;2400,3978/2,7465)</f>
        <v>7465</v>
      </c>
      <c r="I1344" s="359" t="s">
        <v>4</v>
      </c>
    </row>
    <row r="1345" spans="1:9" ht="15" customHeight="1">
      <c r="A1345" s="353"/>
      <c r="B1345" s="354"/>
      <c r="C1345" s="786"/>
      <c r="D1345" s="786"/>
      <c r="E1345" s="786"/>
      <c r="F1345" s="786"/>
      <c r="G1345" s="787"/>
      <c r="H1345" s="221">
        <f>H1344*1.852</f>
        <v>13825.18</v>
      </c>
      <c r="I1345" s="356" t="s">
        <v>97</v>
      </c>
    </row>
    <row r="1346" spans="1:9" s="351" customFormat="1" ht="15" customHeight="1">
      <c r="A1346" s="353"/>
      <c r="B1346" s="354"/>
      <c r="C1346" s="354"/>
      <c r="D1346" s="354"/>
      <c r="E1346" s="354"/>
      <c r="F1346" s="354"/>
      <c r="G1346" s="401"/>
      <c r="H1346" s="184"/>
      <c r="I1346" s="356"/>
    </row>
    <row r="1347" spans="1:9" s="351" customFormat="1" ht="15" customHeight="1">
      <c r="A1347" s="353" t="s">
        <v>98</v>
      </c>
      <c r="B1347" s="354"/>
      <c r="C1347" s="354"/>
      <c r="D1347" s="354"/>
      <c r="E1347" s="354"/>
      <c r="F1347" s="354"/>
      <c r="G1347" s="401"/>
      <c r="H1347" s="184">
        <f>VLOOKUP(A102,RESUMO!$AB$7:$AM$29,12,FALSE)</f>
        <v>13</v>
      </c>
      <c r="I1347" s="356" t="s">
        <v>4</v>
      </c>
    </row>
    <row r="1348" spans="1:9" ht="15" customHeight="1">
      <c r="A1348" s="353"/>
      <c r="B1348" s="354"/>
      <c r="C1348" s="354"/>
      <c r="D1348" s="354"/>
      <c r="E1348" s="354"/>
      <c r="F1348" s="354"/>
      <c r="G1348" s="401"/>
      <c r="H1348" s="184"/>
      <c r="I1348" s="356"/>
    </row>
    <row r="1349" spans="1:9" ht="15" customHeight="1">
      <c r="A1349" s="353" t="s">
        <v>99</v>
      </c>
      <c r="B1349" s="354"/>
      <c r="C1349" s="354"/>
      <c r="D1349" s="354"/>
      <c r="E1349" s="354"/>
      <c r="F1349" s="354"/>
      <c r="G1349" s="401"/>
      <c r="H1349" s="184">
        <f>ROUNDUP(H1344/H1347/24,0)</f>
        <v>24</v>
      </c>
      <c r="I1349" s="356" t="s">
        <v>100</v>
      </c>
    </row>
    <row r="1350" spans="1:9" ht="15" customHeight="1">
      <c r="A1350" s="353"/>
      <c r="B1350" s="354"/>
      <c r="C1350" s="354"/>
      <c r="D1350" s="354"/>
      <c r="E1350" s="354"/>
      <c r="F1350" s="354"/>
      <c r="G1350" s="401"/>
      <c r="H1350" s="184"/>
      <c r="I1350" s="356"/>
    </row>
    <row r="1351" spans="1:9" ht="15" customHeight="1">
      <c r="A1351" s="353" t="s">
        <v>101</v>
      </c>
      <c r="B1351" s="354"/>
      <c r="C1351" s="354"/>
      <c r="D1351" s="354"/>
      <c r="E1351" s="354"/>
      <c r="F1351" s="354"/>
      <c r="G1351" s="401"/>
      <c r="H1351" s="184">
        <v>2</v>
      </c>
      <c r="I1351" s="356" t="s">
        <v>100</v>
      </c>
    </row>
    <row r="1352" spans="1:9" ht="15" customHeight="1">
      <c r="A1352" s="353"/>
      <c r="B1352" s="354"/>
      <c r="C1352" s="354"/>
      <c r="D1352" s="354"/>
      <c r="E1352" s="354"/>
      <c r="F1352" s="354"/>
      <c r="G1352" s="401"/>
      <c r="H1352" s="184"/>
      <c r="I1352" s="356"/>
    </row>
    <row r="1353" spans="1:9" ht="15" customHeight="1">
      <c r="A1353" s="4" t="s">
        <v>102</v>
      </c>
      <c r="B1353" s="5"/>
      <c r="C1353" s="5"/>
      <c r="D1353" s="5"/>
      <c r="E1353" s="5"/>
      <c r="F1353" s="5"/>
      <c r="G1353" s="6"/>
      <c r="H1353" s="42">
        <f>SUM(H1349:H1351)</f>
        <v>26</v>
      </c>
      <c r="I1353" s="32" t="s">
        <v>100</v>
      </c>
    </row>
    <row r="1354" spans="1:9" s="351" customFormat="1" ht="15" customHeight="1">
      <c r="A1354" s="353"/>
      <c r="B1354" s="354"/>
      <c r="C1354" s="354"/>
      <c r="D1354" s="354"/>
      <c r="E1354" s="354"/>
      <c r="F1354" s="354"/>
      <c r="G1354" s="401"/>
      <c r="H1354" s="184"/>
      <c r="I1354" s="356"/>
    </row>
    <row r="1355" spans="1:9" ht="15" customHeight="1">
      <c r="A1355" s="4" t="s">
        <v>103</v>
      </c>
      <c r="B1355" s="5"/>
      <c r="C1355" s="5"/>
      <c r="D1355" s="5"/>
      <c r="E1355" s="5"/>
      <c r="F1355" s="5"/>
      <c r="G1355" s="6"/>
      <c r="H1355" s="42">
        <f>SUM(H1349)</f>
        <v>24</v>
      </c>
      <c r="I1355" s="32" t="s">
        <v>100</v>
      </c>
    </row>
    <row r="1356" spans="1:9" ht="15" customHeight="1">
      <c r="A1356" s="353"/>
      <c r="B1356" s="354"/>
      <c r="C1356" s="354"/>
      <c r="D1356" s="354"/>
      <c r="E1356" s="354"/>
      <c r="F1356" s="354"/>
      <c r="G1356" s="430"/>
      <c r="H1356" s="184"/>
      <c r="I1356" s="356"/>
    </row>
    <row r="1357" spans="1:9" ht="15" customHeight="1">
      <c r="A1357" s="353" t="s">
        <v>417</v>
      </c>
      <c r="B1357" s="354"/>
      <c r="C1357" s="354"/>
      <c r="D1357" s="354"/>
      <c r="E1357" s="354"/>
      <c r="F1357" s="354"/>
      <c r="G1357" s="430"/>
      <c r="H1357" s="184">
        <f>ROUND(H1353/30*100,1)</f>
        <v>86.7</v>
      </c>
      <c r="I1357" s="356" t="s">
        <v>5</v>
      </c>
    </row>
    <row r="1358" spans="1:9" ht="15" customHeight="1">
      <c r="A1358" s="353"/>
      <c r="B1358" s="354"/>
      <c r="C1358" s="354"/>
      <c r="D1358" s="354"/>
      <c r="E1358" s="354"/>
      <c r="F1358" s="354"/>
      <c r="G1358" s="430"/>
      <c r="H1358" s="184"/>
      <c r="I1358" s="356"/>
    </row>
    <row r="1359" spans="1:9" ht="15" customHeight="1">
      <c r="A1359" s="355" t="s">
        <v>418</v>
      </c>
      <c r="B1359" s="378"/>
      <c r="C1359" s="378"/>
      <c r="D1359" s="378"/>
      <c r="E1359" s="378"/>
      <c r="F1359" s="378"/>
      <c r="G1359" s="431"/>
      <c r="H1359" s="311">
        <f>ROUND(H1355/30*100,1)</f>
        <v>80</v>
      </c>
      <c r="I1359" s="357" t="s">
        <v>5</v>
      </c>
    </row>
    <row r="1360" spans="1:9" ht="15" customHeight="1"/>
    <row r="1361" spans="1:9" ht="15" customHeight="1">
      <c r="A1361" s="360" t="s">
        <v>104</v>
      </c>
      <c r="B1361" s="352"/>
      <c r="C1361" s="352"/>
      <c r="D1361" s="352"/>
      <c r="E1361" s="352"/>
      <c r="F1361" s="352"/>
      <c r="G1361" s="374"/>
      <c r="H1361" s="352"/>
      <c r="I1361" s="374"/>
    </row>
    <row r="1362" spans="1:9" ht="15" customHeight="1">
      <c r="A1362" s="167"/>
      <c r="B1362" s="167"/>
      <c r="C1362" s="167"/>
      <c r="D1362" s="167"/>
      <c r="E1362" s="167"/>
      <c r="F1362" s="167"/>
      <c r="G1362" s="168"/>
      <c r="H1362" s="167"/>
      <c r="I1362" s="168"/>
    </row>
    <row r="1363" spans="1:9" ht="15" customHeight="1">
      <c r="A1363" s="200" t="s">
        <v>105</v>
      </c>
      <c r="B1363" s="203"/>
      <c r="C1363" s="203"/>
      <c r="D1363" s="203"/>
      <c r="E1363" s="203"/>
      <c r="F1363" s="203"/>
      <c r="G1363" s="204"/>
      <c r="H1363" s="58">
        <f>ROUND(H378*H1357/100,2)</f>
        <v>10130261.460000001</v>
      </c>
      <c r="I1363" s="175" t="s">
        <v>23</v>
      </c>
    </row>
    <row r="1364" spans="1:9" ht="15" customHeight="1">
      <c r="G1364"/>
      <c r="I1364"/>
    </row>
    <row r="1365" spans="1:9" ht="15" customHeight="1">
      <c r="A1365" s="200" t="s">
        <v>189</v>
      </c>
      <c r="B1365" s="364"/>
      <c r="C1365" s="364"/>
      <c r="D1365" s="364"/>
      <c r="E1365" s="364"/>
      <c r="F1365" s="364"/>
      <c r="G1365" s="204"/>
      <c r="H1365" s="58">
        <f>ROUND(H378*H1359/100,2)</f>
        <v>9347415.4199999999</v>
      </c>
      <c r="I1365" s="433" t="s">
        <v>23</v>
      </c>
    </row>
    <row r="1366" spans="1:9" ht="15" customHeight="1"/>
    <row r="1367" spans="1:9" ht="15" customHeight="1"/>
    <row r="1368" spans="1:9" ht="15" customHeight="1"/>
    <row r="1369" spans="1:9" ht="15" customHeight="1"/>
    <row r="1370" spans="1:9" ht="15" customHeight="1"/>
    <row r="1371" spans="1:9" ht="15" customHeight="1"/>
    <row r="1372" spans="1:9" ht="15" customHeight="1"/>
    <row r="1373" spans="1:9" ht="15" customHeight="1"/>
    <row r="1374" spans="1:9" ht="15" customHeight="1"/>
    <row r="1375" spans="1:9" ht="15" customHeight="1"/>
    <row r="1376" spans="1:9" ht="15" customHeight="1"/>
    <row r="1377" spans="1:9" ht="15" customHeight="1"/>
    <row r="1378" spans="1:9" ht="15" customHeight="1"/>
    <row r="1379" spans="1:9" ht="15" customHeight="1"/>
    <row r="1380" spans="1:9" ht="15" customHeight="1">
      <c r="G1380"/>
      <c r="I1380"/>
    </row>
    <row r="1381" spans="1:9" ht="15" customHeight="1">
      <c r="G1381"/>
      <c r="I1381"/>
    </row>
    <row r="1382" spans="1:9" s="352" customFormat="1" ht="15" customHeight="1">
      <c r="A1382"/>
      <c r="B1382"/>
      <c r="C1382"/>
      <c r="D1382"/>
      <c r="E1382"/>
      <c r="F1382"/>
      <c r="G1382"/>
      <c r="H1382"/>
      <c r="I1382"/>
    </row>
    <row r="1383" spans="1:9" s="352" customFormat="1" ht="15" customHeight="1">
      <c r="A1383"/>
      <c r="B1383"/>
      <c r="C1383"/>
      <c r="D1383"/>
      <c r="E1383"/>
      <c r="F1383"/>
      <c r="G1383"/>
      <c r="H1383"/>
      <c r="I1383"/>
    </row>
    <row r="1384" spans="1:9" s="352" customFormat="1" ht="15" customHeight="1">
      <c r="A1384" s="101"/>
      <c r="B1384" s="85"/>
      <c r="C1384" s="85"/>
      <c r="D1384" s="85"/>
      <c r="E1384" s="85"/>
      <c r="F1384" s="85"/>
      <c r="G1384" s="85"/>
      <c r="H1384" s="102"/>
      <c r="I1384" s="102"/>
    </row>
    <row r="1385" spans="1:9" s="352" customFormat="1" ht="15" customHeight="1">
      <c r="A1385"/>
      <c r="B1385"/>
      <c r="C1385"/>
      <c r="D1385"/>
      <c r="E1385"/>
      <c r="F1385"/>
      <c r="G1385" s="237"/>
      <c r="H1385"/>
      <c r="I1385" s="237"/>
    </row>
    <row r="1386" spans="1:9" s="352" customFormat="1" ht="15" customHeight="1">
      <c r="A1386" s="738" t="s">
        <v>373</v>
      </c>
      <c r="B1386" s="738"/>
      <c r="C1386" s="738"/>
      <c r="D1386" s="738"/>
      <c r="E1386" s="738"/>
      <c r="F1386" s="738"/>
      <c r="G1386" s="738"/>
      <c r="H1386" s="738"/>
      <c r="I1386" s="738"/>
    </row>
    <row r="1387" spans="1:9" s="352" customFormat="1" ht="15" customHeight="1">
      <c r="A1387" s="139"/>
      <c r="B1387" s="139"/>
      <c r="C1387" s="139"/>
      <c r="D1387" s="139"/>
      <c r="E1387" s="139"/>
      <c r="F1387" s="139"/>
      <c r="G1387" s="139"/>
      <c r="H1387" s="139"/>
      <c r="I1387" s="139"/>
    </row>
    <row r="1388" spans="1:9" s="352" customFormat="1" ht="15" customHeight="1">
      <c r="A1388" s="782" t="s">
        <v>406</v>
      </c>
      <c r="B1388" s="782"/>
      <c r="C1388" s="782"/>
      <c r="D1388" s="782"/>
      <c r="E1388" s="782"/>
      <c r="F1388" s="782"/>
      <c r="G1388" s="782"/>
      <c r="H1388" s="782"/>
      <c r="I1388" s="782"/>
    </row>
    <row r="1389" spans="1:9" s="352" customFormat="1" ht="15" customHeight="1">
      <c r="A1389" s="782"/>
      <c r="B1389" s="782"/>
      <c r="C1389" s="782"/>
      <c r="D1389" s="782"/>
      <c r="E1389" s="782"/>
      <c r="F1389" s="782"/>
      <c r="G1389" s="782"/>
      <c r="H1389" s="782"/>
      <c r="I1389" s="782"/>
    </row>
    <row r="1390" spans="1:9" ht="15" customHeight="1">
      <c r="A1390" s="782"/>
      <c r="B1390" s="782"/>
      <c r="C1390" s="782"/>
      <c r="D1390" s="782"/>
      <c r="E1390" s="782"/>
      <c r="F1390" s="782"/>
      <c r="G1390" s="782"/>
      <c r="H1390" s="782"/>
      <c r="I1390" s="782"/>
    </row>
    <row r="1391" spans="1:9" ht="15" customHeight="1"/>
    <row r="1392" spans="1:9" ht="15" customHeight="1">
      <c r="A1392" s="358" t="s">
        <v>274</v>
      </c>
      <c r="B1392" s="377"/>
      <c r="C1392" s="377"/>
      <c r="D1392" s="377"/>
      <c r="E1392" s="377"/>
      <c r="F1392" s="377"/>
      <c r="G1392" s="405"/>
      <c r="H1392" s="41">
        <v>200</v>
      </c>
      <c r="I1392" s="359" t="s">
        <v>4</v>
      </c>
    </row>
    <row r="1393" spans="1:9" ht="15" customHeight="1">
      <c r="A1393" s="353"/>
      <c r="B1393" s="354"/>
      <c r="C1393" s="354"/>
      <c r="D1393" s="354"/>
      <c r="E1393" s="354"/>
      <c r="F1393" s="354"/>
      <c r="G1393" s="401"/>
      <c r="H1393" s="221">
        <f>H1392*1.852</f>
        <v>370.40000000000003</v>
      </c>
      <c r="I1393" s="356" t="s">
        <v>97</v>
      </c>
    </row>
    <row r="1394" spans="1:9" ht="15" customHeight="1">
      <c r="A1394" s="353"/>
      <c r="B1394" s="354"/>
      <c r="C1394" s="354"/>
      <c r="D1394" s="354"/>
      <c r="E1394" s="354"/>
      <c r="F1394" s="354"/>
      <c r="G1394" s="401"/>
      <c r="H1394" s="184"/>
      <c r="I1394" s="356"/>
    </row>
    <row r="1395" spans="1:9" ht="15" customHeight="1">
      <c r="A1395" s="353" t="s">
        <v>211</v>
      </c>
      <c r="B1395" s="354"/>
      <c r="C1395" s="354"/>
      <c r="D1395" s="354"/>
      <c r="E1395" s="354"/>
      <c r="F1395" s="354"/>
      <c r="G1395" s="401"/>
      <c r="H1395" s="184">
        <v>4</v>
      </c>
      <c r="I1395" s="356" t="s">
        <v>4</v>
      </c>
    </row>
    <row r="1396" spans="1:9" ht="15" customHeight="1">
      <c r="A1396" s="353"/>
      <c r="B1396" s="354"/>
      <c r="C1396" s="354"/>
      <c r="D1396" s="354"/>
      <c r="E1396" s="354"/>
      <c r="F1396" s="354"/>
      <c r="G1396" s="401"/>
      <c r="H1396" s="184"/>
      <c r="I1396" s="356"/>
    </row>
    <row r="1397" spans="1:9" ht="15" customHeight="1">
      <c r="A1397" s="353" t="s">
        <v>99</v>
      </c>
      <c r="B1397" s="354"/>
      <c r="C1397" s="354"/>
      <c r="D1397" s="354"/>
      <c r="E1397" s="354"/>
      <c r="F1397" s="354"/>
      <c r="G1397" s="401"/>
      <c r="H1397" s="184">
        <f>ROUNDUP(H1392/H1395/24,0)</f>
        <v>3</v>
      </c>
      <c r="I1397" s="356" t="s">
        <v>100</v>
      </c>
    </row>
    <row r="1398" spans="1:9" ht="15" customHeight="1">
      <c r="A1398" s="353"/>
      <c r="B1398" s="354"/>
      <c r="C1398" s="354"/>
      <c r="D1398" s="354"/>
      <c r="E1398" s="354"/>
      <c r="F1398" s="354"/>
      <c r="G1398" s="401"/>
      <c r="H1398" s="184"/>
      <c r="I1398" s="356"/>
    </row>
    <row r="1399" spans="1:9" ht="15" customHeight="1">
      <c r="A1399" s="353" t="s">
        <v>101</v>
      </c>
      <c r="B1399" s="354"/>
      <c r="C1399" s="354"/>
      <c r="D1399" s="354"/>
      <c r="E1399" s="354"/>
      <c r="F1399" s="354"/>
      <c r="G1399" s="401"/>
      <c r="H1399" s="184">
        <v>2</v>
      </c>
      <c r="I1399" s="356" t="s">
        <v>100</v>
      </c>
    </row>
    <row r="1400" spans="1:9" ht="15" customHeight="1">
      <c r="A1400" s="165"/>
      <c r="B1400" s="182"/>
      <c r="C1400" s="182"/>
      <c r="D1400" s="182"/>
      <c r="E1400" s="182"/>
      <c r="F1400" s="182"/>
      <c r="G1400" s="183"/>
      <c r="H1400" s="184"/>
      <c r="I1400" s="185"/>
    </row>
    <row r="1401" spans="1:9" ht="15" customHeight="1">
      <c r="A1401" s="4" t="s">
        <v>102</v>
      </c>
      <c r="B1401" s="5"/>
      <c r="C1401" s="5"/>
      <c r="D1401" s="5"/>
      <c r="E1401" s="5"/>
      <c r="F1401" s="5"/>
      <c r="G1401" s="6"/>
      <c r="H1401" s="42">
        <f>SUM(H1397:H1399)</f>
        <v>5</v>
      </c>
      <c r="I1401" s="32" t="s">
        <v>100</v>
      </c>
    </row>
    <row r="1402" spans="1:9" s="351" customFormat="1" ht="15" customHeight="1">
      <c r="A1402" s="165"/>
      <c r="B1402" s="182"/>
      <c r="C1402" s="182"/>
      <c r="D1402" s="182"/>
      <c r="E1402" s="182"/>
      <c r="F1402" s="182"/>
      <c r="G1402" s="183"/>
      <c r="H1402" s="184"/>
      <c r="I1402" s="185"/>
    </row>
    <row r="1403" spans="1:9" s="351" customFormat="1" ht="15" customHeight="1">
      <c r="A1403" s="4" t="s">
        <v>103</v>
      </c>
      <c r="B1403" s="5"/>
      <c r="C1403" s="5"/>
      <c r="D1403" s="5"/>
      <c r="E1403" s="5"/>
      <c r="F1403" s="5"/>
      <c r="G1403" s="6"/>
      <c r="H1403" s="42">
        <f>SUM(H1397)</f>
        <v>3</v>
      </c>
      <c r="I1403" s="32" t="s">
        <v>100</v>
      </c>
    </row>
    <row r="1404" spans="1:9" s="351" customFormat="1" ht="15" customHeight="1">
      <c r="A1404" s="353"/>
      <c r="B1404" s="354"/>
      <c r="C1404" s="354"/>
      <c r="D1404" s="354"/>
      <c r="E1404" s="354"/>
      <c r="F1404" s="354"/>
      <c r="G1404" s="430"/>
      <c r="H1404" s="184"/>
      <c r="I1404" s="356"/>
    </row>
    <row r="1405" spans="1:9" s="351" customFormat="1" ht="15" customHeight="1">
      <c r="A1405" s="353" t="s">
        <v>417</v>
      </c>
      <c r="B1405" s="354"/>
      <c r="C1405" s="354"/>
      <c r="D1405" s="354"/>
      <c r="E1405" s="354"/>
      <c r="F1405" s="354"/>
      <c r="G1405" s="430"/>
      <c r="H1405" s="184">
        <f>ROUND(H1401/30*100,1)</f>
        <v>16.7</v>
      </c>
      <c r="I1405" s="356" t="s">
        <v>5</v>
      </c>
    </row>
    <row r="1406" spans="1:9" s="351" customFormat="1" ht="15" customHeight="1">
      <c r="A1406" s="353"/>
      <c r="B1406" s="354"/>
      <c r="C1406" s="354"/>
      <c r="D1406" s="354"/>
      <c r="E1406" s="354"/>
      <c r="F1406" s="354"/>
      <c r="G1406" s="430"/>
      <c r="H1406" s="184"/>
      <c r="I1406" s="356"/>
    </row>
    <row r="1407" spans="1:9" s="351" customFormat="1" ht="15" customHeight="1">
      <c r="A1407" s="355" t="s">
        <v>418</v>
      </c>
      <c r="B1407" s="378"/>
      <c r="C1407" s="378"/>
      <c r="D1407" s="378"/>
      <c r="E1407" s="378"/>
      <c r="F1407" s="378"/>
      <c r="G1407" s="431"/>
      <c r="H1407" s="311">
        <f>ROUND(H1403/30*100,1)</f>
        <v>10</v>
      </c>
      <c r="I1407" s="357" t="s">
        <v>5</v>
      </c>
    </row>
    <row r="1408" spans="1:9" s="351" customFormat="1" ht="15" customHeight="1">
      <c r="G1408" s="435"/>
      <c r="I1408" s="435"/>
    </row>
    <row r="1409" spans="1:9" s="351" customFormat="1" ht="15" customHeight="1">
      <c r="A1409" s="360" t="s">
        <v>104</v>
      </c>
      <c r="B1409" s="352"/>
      <c r="C1409" s="352"/>
      <c r="D1409" s="352"/>
      <c r="E1409" s="352"/>
      <c r="F1409" s="352"/>
      <c r="G1409" s="374"/>
      <c r="H1409" s="352"/>
      <c r="I1409" s="374"/>
    </row>
    <row r="1410" spans="1:9" s="351" customFormat="1" ht="15" customHeight="1">
      <c r="A1410"/>
      <c r="B1410"/>
      <c r="C1410"/>
      <c r="D1410"/>
      <c r="E1410"/>
      <c r="F1410"/>
      <c r="G1410" s="237"/>
      <c r="H1410"/>
      <c r="I1410" s="237"/>
    </row>
    <row r="1411" spans="1:9" s="351" customFormat="1" ht="15" customHeight="1">
      <c r="A1411" s="200" t="s">
        <v>105</v>
      </c>
      <c r="B1411" s="203"/>
      <c r="C1411" s="203"/>
      <c r="D1411" s="203"/>
      <c r="E1411" s="203"/>
      <c r="F1411" s="203"/>
      <c r="G1411" s="204"/>
      <c r="H1411" s="222">
        <f>ROUND(H878*H1405/100,2)</f>
        <v>62129.81</v>
      </c>
      <c r="I1411" s="223" t="s">
        <v>23</v>
      </c>
    </row>
    <row r="1412" spans="1:9" s="351" customFormat="1" ht="15" customHeight="1">
      <c r="A1412" s="182"/>
      <c r="B1412" s="182"/>
      <c r="C1412" s="182"/>
      <c r="D1412" s="182"/>
      <c r="E1412" s="182"/>
      <c r="F1412" s="182"/>
      <c r="G1412" s="214"/>
      <c r="H1412" s="182"/>
      <c r="I1412" s="214"/>
    </row>
    <row r="1413" spans="1:9" s="351" customFormat="1" ht="15" customHeight="1">
      <c r="A1413" s="200" t="s">
        <v>106</v>
      </c>
      <c r="B1413" s="203"/>
      <c r="C1413" s="203"/>
      <c r="D1413" s="203"/>
      <c r="E1413" s="203"/>
      <c r="F1413" s="203"/>
      <c r="G1413" s="204"/>
      <c r="H1413" s="222">
        <f>ROUND(H878*H1407/100,2)</f>
        <v>37203.480000000003</v>
      </c>
      <c r="I1413" s="223" t="s">
        <v>23</v>
      </c>
    </row>
    <row r="1414" spans="1:9" s="351" customFormat="1" ht="15" customHeight="1">
      <c r="G1414" s="435"/>
      <c r="I1414" s="435"/>
    </row>
    <row r="1415" spans="1:9" s="351" customFormat="1" ht="15" customHeight="1"/>
    <row r="1416" spans="1:9" s="351" customFormat="1" ht="15" customHeight="1"/>
    <row r="1417" spans="1:9" s="351" customFormat="1" ht="15" customHeight="1"/>
    <row r="1418" spans="1:9" s="351" customFormat="1" ht="15" customHeight="1">
      <c r="G1418" s="435"/>
      <c r="I1418" s="435"/>
    </row>
    <row r="1419" spans="1:9" s="351" customFormat="1" ht="15" customHeight="1">
      <c r="G1419" s="435"/>
      <c r="I1419" s="435"/>
    </row>
    <row r="1420" spans="1:9" s="351" customFormat="1" ht="15" customHeight="1">
      <c r="G1420" s="435"/>
      <c r="I1420" s="435"/>
    </row>
    <row r="1421" spans="1:9" s="351" customFormat="1" ht="15" customHeight="1">
      <c r="G1421" s="435"/>
      <c r="I1421" s="435"/>
    </row>
    <row r="1422" spans="1:9" s="351" customFormat="1" ht="15" customHeight="1">
      <c r="G1422" s="435"/>
      <c r="I1422" s="435"/>
    </row>
    <row r="1423" spans="1:9" s="351" customFormat="1" ht="15" customHeight="1">
      <c r="G1423" s="435"/>
      <c r="I1423" s="435"/>
    </row>
    <row r="1424" spans="1:9" s="351" customFormat="1" ht="15" customHeight="1">
      <c r="G1424" s="435"/>
      <c r="I1424" s="435"/>
    </row>
    <row r="1425" spans="1:9" s="351" customFormat="1" ht="15" customHeight="1">
      <c r="G1425" s="435"/>
      <c r="I1425" s="435"/>
    </row>
    <row r="1426" spans="1:9" ht="15" customHeight="1">
      <c r="A1426" s="351"/>
      <c r="B1426" s="351"/>
      <c r="C1426" s="351"/>
      <c r="D1426" s="351"/>
      <c r="E1426" s="351"/>
      <c r="F1426" s="351"/>
      <c r="G1426" s="435"/>
      <c r="H1426" s="351"/>
      <c r="I1426" s="435"/>
    </row>
    <row r="1427" spans="1:9" ht="15" customHeight="1">
      <c r="A1427" s="351"/>
      <c r="B1427" s="351"/>
      <c r="C1427" s="351"/>
      <c r="D1427" s="351"/>
      <c r="E1427" s="351"/>
      <c r="F1427" s="351"/>
      <c r="G1427" s="435"/>
      <c r="H1427" s="351"/>
      <c r="I1427" s="435"/>
    </row>
    <row r="1428" spans="1:9" ht="15" customHeight="1">
      <c r="A1428" s="351"/>
      <c r="B1428" s="351"/>
      <c r="C1428" s="351"/>
      <c r="D1428" s="351"/>
      <c r="E1428" s="351"/>
      <c r="F1428" s="351"/>
      <c r="G1428" s="435"/>
      <c r="H1428" s="351"/>
      <c r="I1428" s="435"/>
    </row>
    <row r="1429" spans="1:9" ht="15" customHeight="1">
      <c r="A1429" s="351"/>
      <c r="B1429" s="351"/>
      <c r="C1429" s="351"/>
      <c r="D1429" s="351"/>
      <c r="E1429" s="351"/>
      <c r="F1429" s="351"/>
      <c r="G1429" s="435"/>
      <c r="H1429" s="351"/>
      <c r="I1429" s="435"/>
    </row>
    <row r="1430" spans="1:9" ht="15" customHeight="1">
      <c r="A1430" s="351"/>
      <c r="B1430" s="351"/>
      <c r="C1430" s="351"/>
      <c r="D1430" s="351"/>
      <c r="E1430" s="351"/>
      <c r="F1430" s="351"/>
      <c r="G1430" s="435"/>
      <c r="H1430" s="351"/>
      <c r="I1430" s="435"/>
    </row>
    <row r="1431" spans="1:9" ht="15" customHeight="1">
      <c r="A1431" s="351"/>
      <c r="B1431" s="351"/>
      <c r="C1431" s="351"/>
      <c r="D1431" s="351"/>
      <c r="E1431" s="351"/>
      <c r="F1431" s="351"/>
      <c r="G1431" s="435"/>
      <c r="H1431" s="351"/>
      <c r="I1431" s="435"/>
    </row>
    <row r="1432" spans="1:9" ht="15" customHeight="1">
      <c r="A1432" s="351"/>
      <c r="B1432" s="351"/>
      <c r="C1432" s="351"/>
      <c r="D1432" s="351"/>
      <c r="E1432" s="351"/>
      <c r="F1432" s="351"/>
      <c r="G1432" s="435"/>
      <c r="H1432" s="351"/>
      <c r="I1432" s="435"/>
    </row>
    <row r="1433" spans="1:9" ht="15" customHeight="1">
      <c r="A1433" s="351"/>
      <c r="B1433" s="351"/>
      <c r="C1433" s="351"/>
      <c r="D1433" s="351"/>
      <c r="E1433" s="351"/>
      <c r="F1433" s="351"/>
      <c r="G1433" s="435"/>
      <c r="H1433" s="351"/>
      <c r="I1433" s="435"/>
    </row>
    <row r="1434" spans="1:9" ht="15" customHeight="1">
      <c r="A1434" s="375"/>
      <c r="B1434" s="375"/>
      <c r="C1434" s="375"/>
      <c r="D1434" s="375"/>
      <c r="E1434" s="375"/>
      <c r="F1434" s="375"/>
      <c r="G1434" s="137"/>
      <c r="H1434" s="375"/>
      <c r="I1434" s="137"/>
    </row>
    <row r="1435" spans="1:9" ht="15" customHeight="1"/>
    <row r="1436" spans="1:9" ht="15" customHeight="1">
      <c r="A1436" s="781">
        <f>H903</f>
        <v>400</v>
      </c>
      <c r="B1436" s="781"/>
      <c r="C1436" s="781"/>
      <c r="D1436" s="781"/>
      <c r="E1436" s="781"/>
      <c r="F1436" s="781"/>
      <c r="G1436" s="781"/>
      <c r="H1436" s="781"/>
      <c r="I1436" s="781"/>
    </row>
    <row r="1437" spans="1:9" ht="15" customHeight="1">
      <c r="A1437" s="167"/>
      <c r="B1437" s="167"/>
      <c r="C1437" s="167"/>
      <c r="D1437" s="167"/>
      <c r="E1437" s="167"/>
      <c r="F1437" s="167"/>
      <c r="G1437" s="168"/>
      <c r="H1437" s="167"/>
      <c r="I1437" s="168"/>
    </row>
    <row r="1438" spans="1:9" ht="15" customHeight="1">
      <c r="A1438" s="164" t="s">
        <v>276</v>
      </c>
      <c r="B1438" s="178"/>
      <c r="C1438" s="178"/>
      <c r="D1438" s="178"/>
      <c r="E1438" s="178"/>
      <c r="F1438" s="178"/>
      <c r="G1438" s="179"/>
      <c r="H1438" s="41">
        <v>200</v>
      </c>
      <c r="I1438" s="181" t="s">
        <v>4</v>
      </c>
    </row>
    <row r="1439" spans="1:9" ht="15" customHeight="1">
      <c r="A1439" s="165"/>
      <c r="B1439" s="182"/>
      <c r="C1439" s="182"/>
      <c r="D1439" s="182"/>
      <c r="E1439" s="182"/>
      <c r="F1439" s="182"/>
      <c r="G1439" s="183"/>
      <c r="H1439" s="221">
        <f>H1438*1.852</f>
        <v>370.40000000000003</v>
      </c>
      <c r="I1439" s="185" t="s">
        <v>97</v>
      </c>
    </row>
    <row r="1440" spans="1:9" ht="15" customHeight="1">
      <c r="A1440" s="165"/>
      <c r="B1440" s="182"/>
      <c r="C1440" s="182"/>
      <c r="D1440" s="182"/>
      <c r="E1440" s="182"/>
      <c r="F1440" s="182"/>
      <c r="G1440" s="183"/>
      <c r="H1440" s="184"/>
      <c r="I1440" s="185"/>
    </row>
    <row r="1441" spans="1:9" ht="15" customHeight="1">
      <c r="A1441" s="165" t="s">
        <v>211</v>
      </c>
      <c r="B1441" s="182"/>
      <c r="C1441" s="182"/>
      <c r="D1441" s="182"/>
      <c r="E1441" s="182"/>
      <c r="F1441" s="182"/>
      <c r="G1441" s="183"/>
      <c r="H1441" s="138">
        <v>4</v>
      </c>
      <c r="I1441" s="185" t="s">
        <v>4</v>
      </c>
    </row>
    <row r="1442" spans="1:9" ht="15" customHeight="1">
      <c r="A1442" s="165"/>
      <c r="B1442" s="182"/>
      <c r="C1442" s="182"/>
      <c r="D1442" s="182"/>
      <c r="E1442" s="182"/>
      <c r="F1442" s="182"/>
      <c r="G1442" s="183"/>
      <c r="H1442" s="138"/>
      <c r="I1442" s="185"/>
    </row>
    <row r="1443" spans="1:9" ht="15" customHeight="1">
      <c r="A1443" s="165" t="s">
        <v>99</v>
      </c>
      <c r="B1443" s="182"/>
      <c r="C1443" s="182"/>
      <c r="D1443" s="182"/>
      <c r="E1443" s="182"/>
      <c r="F1443" s="182"/>
      <c r="G1443" s="183"/>
      <c r="H1443" s="184">
        <f>ROUNDUP(H1438/H1441/24,0)</f>
        <v>3</v>
      </c>
      <c r="I1443" s="185" t="s">
        <v>100</v>
      </c>
    </row>
    <row r="1444" spans="1:9" ht="15" customHeight="1">
      <c r="A1444" s="165"/>
      <c r="B1444" s="182"/>
      <c r="C1444" s="182"/>
      <c r="D1444" s="182"/>
      <c r="E1444" s="182"/>
      <c r="F1444" s="182"/>
      <c r="G1444" s="183"/>
      <c r="H1444" s="184"/>
      <c r="I1444" s="185"/>
    </row>
    <row r="1445" spans="1:9" ht="15" customHeight="1">
      <c r="A1445" s="165" t="s">
        <v>101</v>
      </c>
      <c r="B1445" s="182"/>
      <c r="C1445" s="182"/>
      <c r="D1445" s="182"/>
      <c r="E1445" s="182"/>
      <c r="F1445" s="182"/>
      <c r="G1445" s="183"/>
      <c r="H1445" s="184">
        <v>2</v>
      </c>
      <c r="I1445" s="185" t="s">
        <v>100</v>
      </c>
    </row>
    <row r="1446" spans="1:9" ht="15" customHeight="1">
      <c r="A1446" s="165"/>
      <c r="B1446" s="182"/>
      <c r="C1446" s="182"/>
      <c r="D1446" s="182"/>
      <c r="E1446" s="182"/>
      <c r="F1446" s="182"/>
      <c r="G1446" s="183"/>
      <c r="H1446" s="184"/>
      <c r="I1446" s="185"/>
    </row>
    <row r="1447" spans="1:9" ht="15" customHeight="1">
      <c r="A1447" s="4" t="s">
        <v>102</v>
      </c>
      <c r="B1447" s="5"/>
      <c r="C1447" s="5"/>
      <c r="D1447" s="5"/>
      <c r="E1447" s="5"/>
      <c r="F1447" s="5"/>
      <c r="G1447" s="6"/>
      <c r="H1447" s="42">
        <f>SUM(H1443:H1445)</f>
        <v>5</v>
      </c>
      <c r="I1447" s="32" t="s">
        <v>100</v>
      </c>
    </row>
    <row r="1448" spans="1:9" ht="15" customHeight="1">
      <c r="A1448" s="165"/>
      <c r="B1448" s="182"/>
      <c r="C1448" s="182"/>
      <c r="D1448" s="182"/>
      <c r="E1448" s="182"/>
      <c r="F1448" s="182"/>
      <c r="G1448" s="183"/>
      <c r="H1448" s="184"/>
      <c r="I1448" s="185"/>
    </row>
    <row r="1449" spans="1:9" s="351" customFormat="1" ht="15" customHeight="1">
      <c r="A1449" s="4" t="s">
        <v>103</v>
      </c>
      <c r="B1449" s="5"/>
      <c r="C1449" s="5"/>
      <c r="D1449" s="5"/>
      <c r="E1449" s="5"/>
      <c r="F1449" s="5"/>
      <c r="G1449" s="6"/>
      <c r="H1449" s="42">
        <f>H1443</f>
        <v>3</v>
      </c>
      <c r="I1449" s="32" t="s">
        <v>100</v>
      </c>
    </row>
    <row r="1450" spans="1:9" s="351" customFormat="1" ht="15" customHeight="1">
      <c r="A1450" s="165"/>
      <c r="B1450" s="182"/>
      <c r="C1450" s="182"/>
      <c r="D1450" s="182"/>
      <c r="E1450" s="182"/>
      <c r="F1450" s="182"/>
      <c r="G1450" s="183"/>
      <c r="H1450" s="184"/>
      <c r="I1450" s="185"/>
    </row>
    <row r="1451" spans="1:9" s="351" customFormat="1" ht="15" customHeight="1">
      <c r="A1451" s="353" t="s">
        <v>417</v>
      </c>
      <c r="B1451" s="354"/>
      <c r="C1451" s="354"/>
      <c r="D1451" s="354"/>
      <c r="E1451" s="354"/>
      <c r="F1451" s="354"/>
      <c r="G1451" s="430"/>
      <c r="H1451" s="184">
        <f>ROUND(H1447/30*100,1)</f>
        <v>16.7</v>
      </c>
      <c r="I1451" s="356" t="s">
        <v>5</v>
      </c>
    </row>
    <row r="1452" spans="1:9" s="351" customFormat="1" ht="15" customHeight="1">
      <c r="A1452" s="353"/>
      <c r="B1452" s="354"/>
      <c r="C1452" s="354"/>
      <c r="D1452" s="354"/>
      <c r="E1452" s="354"/>
      <c r="F1452" s="354"/>
      <c r="G1452" s="430"/>
      <c r="H1452" s="184"/>
      <c r="I1452" s="356"/>
    </row>
    <row r="1453" spans="1:9" s="351" customFormat="1" ht="15" customHeight="1">
      <c r="A1453" s="355" t="s">
        <v>418</v>
      </c>
      <c r="B1453" s="378"/>
      <c r="C1453" s="378"/>
      <c r="D1453" s="378"/>
      <c r="E1453" s="378"/>
      <c r="F1453" s="378"/>
      <c r="G1453" s="431"/>
      <c r="H1453" s="311">
        <f>ROUND(H1449/30*100,1)</f>
        <v>10</v>
      </c>
      <c r="I1453" s="357" t="s">
        <v>5</v>
      </c>
    </row>
    <row r="1454" spans="1:9" s="351" customFormat="1" ht="15" customHeight="1">
      <c r="A1454"/>
      <c r="B1454"/>
      <c r="C1454"/>
      <c r="D1454"/>
      <c r="E1454"/>
      <c r="F1454"/>
      <c r="G1454" s="237"/>
      <c r="H1454"/>
      <c r="I1454" s="237"/>
    </row>
    <row r="1455" spans="1:9" s="351" customFormat="1" ht="15" customHeight="1">
      <c r="A1455" s="19" t="s">
        <v>104</v>
      </c>
      <c r="B1455" s="167"/>
      <c r="C1455" s="167"/>
      <c r="D1455" s="167"/>
      <c r="E1455" s="167"/>
      <c r="F1455" s="167"/>
      <c r="G1455" s="168"/>
      <c r="H1455" s="167"/>
      <c r="I1455" s="168"/>
    </row>
    <row r="1456" spans="1:9" s="351" customFormat="1" ht="15" customHeight="1">
      <c r="A1456" s="167"/>
      <c r="B1456" s="167"/>
      <c r="C1456" s="167"/>
      <c r="D1456" s="167"/>
      <c r="E1456" s="167"/>
      <c r="F1456" s="167"/>
      <c r="G1456" s="168"/>
      <c r="H1456" s="167"/>
      <c r="I1456" s="168"/>
    </row>
    <row r="1457" spans="1:9" s="351" customFormat="1" ht="15" customHeight="1">
      <c r="A1457" s="200" t="s">
        <v>105</v>
      </c>
      <c r="B1457" s="203"/>
      <c r="C1457" s="203"/>
      <c r="D1457" s="203"/>
      <c r="E1457" s="203"/>
      <c r="F1457" s="203"/>
      <c r="G1457" s="204"/>
      <c r="H1457" s="222">
        <f>ROUND(H1078*H1451/100,2)</f>
        <v>43816.07</v>
      </c>
      <c r="I1457" s="223" t="s">
        <v>23</v>
      </c>
    </row>
    <row r="1458" spans="1:9" s="351" customFormat="1" ht="15" customHeight="1">
      <c r="A1458" s="167"/>
      <c r="B1458" s="167"/>
      <c r="C1458" s="167"/>
      <c r="D1458" s="167"/>
      <c r="E1458" s="167"/>
      <c r="F1458" s="167"/>
      <c r="G1458" s="168"/>
      <c r="H1458" s="167"/>
      <c r="I1458" s="168"/>
    </row>
    <row r="1459" spans="1:9" s="351" customFormat="1" ht="15" customHeight="1">
      <c r="A1459" s="200" t="s">
        <v>106</v>
      </c>
      <c r="B1459" s="364"/>
      <c r="C1459" s="364"/>
      <c r="D1459" s="364"/>
      <c r="E1459" s="364"/>
      <c r="F1459" s="364"/>
      <c r="G1459" s="204"/>
      <c r="H1459" s="222">
        <f>ROUND(H1078*H1453/100,2)</f>
        <v>26237.17</v>
      </c>
      <c r="I1459" s="376" t="s">
        <v>23</v>
      </c>
    </row>
    <row r="1460" spans="1:9" s="351" customFormat="1" ht="15" customHeight="1">
      <c r="A1460" s="354"/>
      <c r="B1460" s="354"/>
      <c r="C1460" s="354"/>
      <c r="D1460" s="354"/>
      <c r="E1460" s="354"/>
      <c r="F1460" s="354"/>
      <c r="G1460" s="429"/>
      <c r="H1460" s="388"/>
      <c r="I1460" s="429"/>
    </row>
    <row r="1461" spans="1:9" s="351" customFormat="1" ht="15" customHeight="1">
      <c r="A1461" s="354"/>
      <c r="B1461" s="354"/>
      <c r="C1461" s="354"/>
      <c r="D1461" s="354"/>
      <c r="E1461" s="354"/>
      <c r="F1461" s="354"/>
      <c r="G1461" s="429"/>
      <c r="H1461" s="388"/>
      <c r="I1461" s="429"/>
    </row>
    <row r="1462" spans="1:9" s="351" customFormat="1" ht="15" customHeight="1">
      <c r="A1462" s="354"/>
      <c r="B1462" s="354"/>
      <c r="C1462" s="354"/>
      <c r="D1462" s="354"/>
      <c r="E1462" s="354"/>
      <c r="F1462" s="354"/>
      <c r="G1462" s="429"/>
      <c r="H1462" s="388"/>
      <c r="I1462" s="429"/>
    </row>
    <row r="1463" spans="1:9" s="351" customFormat="1" ht="15" customHeight="1">
      <c r="A1463" s="354"/>
      <c r="B1463" s="354"/>
      <c r="C1463" s="354"/>
      <c r="D1463" s="354"/>
      <c r="E1463" s="354"/>
      <c r="F1463" s="354"/>
      <c r="G1463" s="429"/>
      <c r="H1463" s="388"/>
      <c r="I1463" s="429"/>
    </row>
    <row r="1464" spans="1:9" s="351" customFormat="1" ht="15" customHeight="1">
      <c r="A1464" s="354"/>
      <c r="B1464" s="354"/>
      <c r="C1464" s="354"/>
      <c r="D1464" s="354"/>
      <c r="E1464" s="354"/>
      <c r="F1464" s="354"/>
      <c r="G1464" s="429"/>
      <c r="H1464" s="388"/>
      <c r="I1464" s="429"/>
    </row>
    <row r="1465" spans="1:9" s="351" customFormat="1" ht="15" customHeight="1">
      <c r="A1465" s="354"/>
      <c r="B1465" s="354"/>
      <c r="C1465" s="354"/>
      <c r="D1465" s="354"/>
      <c r="E1465" s="354"/>
      <c r="F1465" s="354"/>
      <c r="G1465" s="429"/>
      <c r="H1465" s="388"/>
      <c r="I1465" s="429"/>
    </row>
    <row r="1466" spans="1:9" s="351" customFormat="1" ht="15" customHeight="1">
      <c r="A1466" s="354"/>
      <c r="B1466" s="354"/>
      <c r="C1466" s="354"/>
      <c r="D1466" s="354"/>
      <c r="E1466" s="354"/>
      <c r="F1466" s="354"/>
      <c r="G1466" s="429"/>
      <c r="H1466" s="388"/>
      <c r="I1466" s="429"/>
    </row>
    <row r="1467" spans="1:9" s="351" customFormat="1" ht="15" customHeight="1">
      <c r="A1467" s="354"/>
      <c r="B1467" s="354"/>
      <c r="C1467" s="354"/>
      <c r="D1467" s="354"/>
      <c r="E1467" s="354"/>
      <c r="F1467" s="354"/>
      <c r="G1467" s="429"/>
      <c r="H1467" s="388"/>
      <c r="I1467" s="429"/>
    </row>
    <row r="1468" spans="1:9" s="351" customFormat="1" ht="15" customHeight="1">
      <c r="A1468" s="354"/>
      <c r="B1468" s="354"/>
      <c r="C1468" s="354"/>
      <c r="D1468" s="354"/>
      <c r="E1468" s="354"/>
      <c r="F1468" s="354"/>
      <c r="G1468" s="429"/>
      <c r="H1468" s="388"/>
      <c r="I1468" s="429"/>
    </row>
    <row r="1469" spans="1:9" s="351" customFormat="1" ht="15" customHeight="1">
      <c r="A1469" s="354"/>
      <c r="B1469" s="354"/>
      <c r="C1469" s="354"/>
      <c r="D1469" s="354"/>
      <c r="E1469" s="354"/>
      <c r="F1469" s="354"/>
      <c r="G1469" s="429"/>
      <c r="H1469" s="388"/>
      <c r="I1469" s="429"/>
    </row>
    <row r="1470" spans="1:9" s="351" customFormat="1" ht="15" customHeight="1">
      <c r="A1470" s="354"/>
      <c r="B1470" s="354"/>
      <c r="C1470" s="354"/>
      <c r="D1470" s="354"/>
      <c r="E1470" s="354"/>
      <c r="F1470" s="354"/>
      <c r="G1470" s="429"/>
      <c r="H1470" s="388"/>
      <c r="I1470" s="429"/>
    </row>
    <row r="1471" spans="1:9" s="351" customFormat="1" ht="15" customHeight="1">
      <c r="A1471" s="354"/>
      <c r="B1471" s="354"/>
      <c r="C1471" s="354"/>
      <c r="D1471" s="354"/>
      <c r="E1471" s="354"/>
      <c r="F1471" s="354"/>
      <c r="G1471" s="429"/>
      <c r="H1471" s="388"/>
      <c r="I1471" s="429"/>
    </row>
    <row r="1472" spans="1:9" s="351" customFormat="1" ht="15" customHeight="1">
      <c r="A1472" s="354"/>
      <c r="B1472" s="354"/>
      <c r="C1472" s="354"/>
      <c r="D1472" s="354"/>
      <c r="E1472" s="354"/>
      <c r="F1472" s="354"/>
      <c r="G1472" s="429"/>
      <c r="H1472" s="388"/>
      <c r="I1472" s="429"/>
    </row>
    <row r="1473" spans="1:9" s="351" customFormat="1" ht="15" customHeight="1">
      <c r="A1473" s="354"/>
      <c r="B1473" s="354"/>
      <c r="C1473" s="354"/>
      <c r="D1473" s="354"/>
      <c r="E1473" s="354"/>
      <c r="F1473" s="354"/>
      <c r="G1473" s="429"/>
      <c r="H1473" s="388"/>
      <c r="I1473" s="429"/>
    </row>
    <row r="1474" spans="1:9" s="351" customFormat="1" ht="15" customHeight="1">
      <c r="A1474" s="354"/>
      <c r="B1474" s="354"/>
      <c r="C1474" s="354"/>
      <c r="D1474" s="354"/>
      <c r="E1474" s="354"/>
      <c r="F1474" s="354"/>
      <c r="G1474" s="429"/>
      <c r="H1474" s="388"/>
      <c r="I1474" s="429"/>
    </row>
    <row r="1475" spans="1:9" s="351" customFormat="1" ht="15" customHeight="1">
      <c r="A1475" s="354"/>
      <c r="B1475" s="354"/>
      <c r="C1475" s="354"/>
      <c r="D1475" s="354"/>
      <c r="E1475" s="354"/>
      <c r="F1475" s="354"/>
      <c r="G1475" s="429"/>
      <c r="H1475" s="388"/>
      <c r="I1475" s="429"/>
    </row>
    <row r="1476" spans="1:9" s="351" customFormat="1" ht="15" customHeight="1">
      <c r="A1476" s="354"/>
      <c r="B1476" s="354"/>
      <c r="C1476" s="354"/>
      <c r="D1476" s="354"/>
      <c r="E1476" s="354"/>
      <c r="F1476" s="354"/>
      <c r="G1476" s="429"/>
      <c r="H1476" s="388"/>
      <c r="I1476" s="429"/>
    </row>
    <row r="1477" spans="1:9" s="351" customFormat="1" ht="15" customHeight="1">
      <c r="A1477" s="354"/>
      <c r="B1477" s="354"/>
      <c r="C1477" s="354"/>
      <c r="D1477" s="354"/>
      <c r="E1477" s="354"/>
      <c r="F1477" s="354"/>
      <c r="G1477" s="429"/>
      <c r="H1477" s="388"/>
      <c r="I1477" s="429"/>
    </row>
    <row r="1478" spans="1:9" s="351" customFormat="1" ht="15" customHeight="1">
      <c r="A1478" s="354"/>
      <c r="B1478" s="354"/>
      <c r="C1478" s="354"/>
      <c r="D1478" s="354"/>
      <c r="E1478" s="354"/>
      <c r="F1478" s="354"/>
      <c r="G1478" s="429"/>
      <c r="H1478" s="388"/>
      <c r="I1478" s="429"/>
    </row>
    <row r="1479" spans="1:9" s="351" customFormat="1" ht="15" customHeight="1">
      <c r="A1479" s="354"/>
      <c r="B1479" s="354"/>
      <c r="C1479" s="354"/>
      <c r="D1479" s="354"/>
      <c r="E1479" s="354"/>
      <c r="F1479" s="354"/>
      <c r="G1479" s="429"/>
      <c r="H1479" s="388"/>
      <c r="I1479" s="429"/>
    </row>
    <row r="1480" spans="1:9" s="351" customFormat="1" ht="15" customHeight="1">
      <c r="A1480" s="354"/>
      <c r="B1480" s="354"/>
      <c r="C1480" s="354"/>
      <c r="D1480" s="354"/>
      <c r="E1480" s="354"/>
      <c r="F1480" s="354"/>
      <c r="G1480" s="429"/>
      <c r="H1480" s="388"/>
      <c r="I1480" s="429"/>
    </row>
    <row r="1481" spans="1:9" s="351" customFormat="1" ht="15" customHeight="1">
      <c r="A1481" s="354"/>
      <c r="B1481" s="354"/>
      <c r="C1481" s="354"/>
      <c r="D1481" s="354"/>
      <c r="E1481" s="354"/>
      <c r="F1481" s="354"/>
      <c r="G1481" s="429"/>
      <c r="H1481" s="388"/>
      <c r="I1481" s="429"/>
    </row>
    <row r="1482" spans="1:9" s="351" customFormat="1" ht="15" customHeight="1">
      <c r="A1482" s="354"/>
      <c r="B1482" s="354"/>
      <c r="C1482" s="354"/>
      <c r="D1482" s="354"/>
      <c r="E1482" s="354"/>
      <c r="F1482" s="354"/>
      <c r="G1482" s="429"/>
      <c r="H1482" s="388"/>
      <c r="I1482" s="429"/>
    </row>
    <row r="1483" spans="1:9" s="351" customFormat="1" ht="15" customHeight="1">
      <c r="A1483" s="354"/>
      <c r="B1483" s="354"/>
      <c r="C1483" s="354"/>
      <c r="D1483" s="354"/>
      <c r="E1483" s="354"/>
      <c r="F1483" s="354"/>
      <c r="G1483" s="429"/>
      <c r="H1483" s="388"/>
      <c r="I1483" s="429"/>
    </row>
    <row r="1484" spans="1:9" s="351" customFormat="1" ht="15" customHeight="1">
      <c r="A1484" s="375"/>
      <c r="B1484" s="375"/>
      <c r="C1484" s="375"/>
      <c r="D1484" s="375"/>
      <c r="E1484" s="375"/>
      <c r="F1484" s="375"/>
      <c r="G1484" s="137"/>
      <c r="H1484" s="375"/>
      <c r="I1484" s="137"/>
    </row>
    <row r="1485" spans="1:9" s="351" customFormat="1" ht="15" customHeight="1">
      <c r="A1485" s="366"/>
      <c r="B1485" s="366"/>
      <c r="C1485" s="366"/>
      <c r="D1485" s="366"/>
      <c r="E1485" s="366"/>
      <c r="F1485" s="366"/>
      <c r="G1485" s="368"/>
      <c r="H1485" s="366"/>
      <c r="I1485" s="368"/>
    </row>
    <row r="1486" spans="1:9" s="351" customFormat="1" ht="15" customHeight="1">
      <c r="A1486" s="718" t="s">
        <v>397</v>
      </c>
      <c r="B1486" s="719"/>
      <c r="C1486" s="719"/>
      <c r="D1486" s="719"/>
      <c r="E1486" s="719"/>
      <c r="F1486" s="719"/>
      <c r="G1486" s="719"/>
      <c r="H1486" s="719"/>
      <c r="I1486" s="719"/>
    </row>
    <row r="1487" spans="1:9" s="351" customFormat="1" ht="15" customHeight="1">
      <c r="G1487" s="406"/>
      <c r="I1487" s="406"/>
    </row>
    <row r="1488" spans="1:9" s="351" customFormat="1" ht="15" customHeight="1">
      <c r="A1488" s="734" t="s">
        <v>164</v>
      </c>
      <c r="B1488" s="734"/>
      <c r="C1488" s="734"/>
      <c r="D1488" s="734"/>
      <c r="E1488" s="734"/>
      <c r="F1488" s="734"/>
      <c r="G1488" s="734"/>
      <c r="H1488" s="734"/>
      <c r="I1488" s="734"/>
    </row>
    <row r="1489" spans="1:9" s="351" customFormat="1" ht="15" customHeight="1">
      <c r="G1489" s="406"/>
      <c r="I1489" s="406"/>
    </row>
    <row r="1490" spans="1:9" s="351" customFormat="1" ht="15" customHeight="1">
      <c r="A1490" s="733">
        <f>A1342</f>
        <v>11000</v>
      </c>
      <c r="B1490" s="734"/>
      <c r="C1490" s="734"/>
      <c r="D1490" s="734"/>
      <c r="E1490" s="734"/>
      <c r="F1490" s="734"/>
      <c r="G1490" s="734"/>
      <c r="H1490" s="734"/>
      <c r="I1490" s="734"/>
    </row>
    <row r="1491" spans="1:9" s="351" customFormat="1" ht="15" customHeight="1">
      <c r="A1491" s="367"/>
      <c r="B1491" s="367"/>
      <c r="C1491" s="367"/>
      <c r="D1491" s="367"/>
      <c r="E1491" s="367"/>
      <c r="F1491" s="367"/>
      <c r="G1491" s="370"/>
      <c r="H1491" s="367"/>
      <c r="I1491" s="370"/>
    </row>
    <row r="1492" spans="1:9" s="351" customFormat="1" ht="15" customHeight="1">
      <c r="A1492" s="715" t="s">
        <v>438</v>
      </c>
      <c r="B1492" s="716"/>
      <c r="C1492" s="716"/>
      <c r="D1492" s="716"/>
      <c r="E1492" s="716"/>
      <c r="F1492" s="716"/>
      <c r="G1492" s="717"/>
      <c r="H1492" s="387">
        <f>H1363*H1230*2</f>
        <v>26488607.665608</v>
      </c>
      <c r="I1492" s="400" t="s">
        <v>171</v>
      </c>
    </row>
    <row r="1493" spans="1:9" s="351" customFormat="1" ht="15" customHeight="1">
      <c r="G1493" s="406"/>
      <c r="I1493" s="406"/>
    </row>
    <row r="1494" spans="1:9" s="351" customFormat="1" ht="15" customHeight="1">
      <c r="A1494" s="715" t="s">
        <v>439</v>
      </c>
      <c r="B1494" s="716"/>
      <c r="C1494" s="716"/>
      <c r="D1494" s="716"/>
      <c r="E1494" s="716"/>
      <c r="F1494" s="716"/>
      <c r="G1494" s="717"/>
      <c r="H1494" s="387">
        <f>H1365*H1230*2</f>
        <v>24441621.840216</v>
      </c>
      <c r="I1494" s="432" t="s">
        <v>171</v>
      </c>
    </row>
    <row r="1495" spans="1:9" s="351" customFormat="1" ht="15" customHeight="1">
      <c r="G1495" s="435"/>
      <c r="I1495" s="435"/>
    </row>
    <row r="1496" spans="1:9" s="351" customFormat="1" ht="15" customHeight="1">
      <c r="F1496" s="727" t="s">
        <v>387</v>
      </c>
      <c r="G1496" s="728"/>
      <c r="H1496" s="393">
        <f>SUM(H1492:H1494)</f>
        <v>50930229.505824</v>
      </c>
      <c r="I1496" s="408" t="s">
        <v>171</v>
      </c>
    </row>
    <row r="1497" spans="1:9" s="351" customFormat="1" ht="15" customHeight="1">
      <c r="A1497" s="354"/>
      <c r="B1497" s="354"/>
      <c r="C1497" s="354"/>
      <c r="D1497" s="354"/>
      <c r="E1497" s="354"/>
      <c r="F1497" s="354"/>
      <c r="G1497" s="398"/>
      <c r="H1497" s="354"/>
      <c r="I1497" s="398"/>
    </row>
    <row r="1498" spans="1:9" s="351" customFormat="1" ht="15" customHeight="1">
      <c r="G1498" s="406"/>
      <c r="I1498" s="406"/>
    </row>
    <row r="1499" spans="1:9" s="351" customFormat="1" ht="15" customHeight="1">
      <c r="A1499" s="354"/>
      <c r="B1499" s="54"/>
      <c r="C1499" s="54"/>
      <c r="D1499" s="339"/>
      <c r="E1499" s="244"/>
      <c r="F1499" s="354"/>
      <c r="G1499" s="398"/>
      <c r="H1499" s="354"/>
      <c r="I1499" s="398"/>
    </row>
    <row r="1500" spans="1:9" s="351" customFormat="1" ht="15" customHeight="1">
      <c r="A1500" s="733" t="s">
        <v>379</v>
      </c>
      <c r="B1500" s="734"/>
      <c r="C1500" s="734"/>
      <c r="D1500" s="734"/>
      <c r="E1500" s="734"/>
      <c r="F1500" s="734"/>
      <c r="G1500" s="734"/>
      <c r="H1500" s="734"/>
      <c r="I1500" s="734"/>
    </row>
    <row r="1501" spans="1:9" s="351" customFormat="1" ht="15" customHeight="1">
      <c r="A1501" s="354"/>
      <c r="B1501" s="54"/>
      <c r="C1501" s="54"/>
      <c r="D1501" s="339"/>
      <c r="E1501" s="244"/>
      <c r="F1501" s="354"/>
      <c r="G1501" s="398"/>
      <c r="H1501" s="354"/>
      <c r="I1501" s="398"/>
    </row>
    <row r="1502" spans="1:9" s="351" customFormat="1" ht="15" customHeight="1">
      <c r="A1502" s="715" t="s">
        <v>400</v>
      </c>
      <c r="B1502" s="716"/>
      <c r="C1502" s="716"/>
      <c r="D1502" s="716"/>
      <c r="E1502" s="716"/>
      <c r="F1502" s="716"/>
      <c r="G1502" s="717"/>
      <c r="H1502" s="387">
        <f>H1411*H1230</f>
        <v>81228.513593999989</v>
      </c>
      <c r="I1502" s="400" t="s">
        <v>171</v>
      </c>
    </row>
    <row r="1503" spans="1:9" s="351" customFormat="1" ht="15" customHeight="1">
      <c r="G1503" s="406"/>
      <c r="I1503" s="406"/>
    </row>
    <row r="1504" spans="1:9" s="351" customFormat="1" ht="15" customHeight="1">
      <c r="A1504" s="715" t="s">
        <v>402</v>
      </c>
      <c r="B1504" s="716"/>
      <c r="C1504" s="716"/>
      <c r="D1504" s="716"/>
      <c r="E1504" s="716"/>
      <c r="F1504" s="716"/>
      <c r="G1504" s="717"/>
      <c r="H1504" s="387">
        <f>H1413*H1230</f>
        <v>48639.829751999998</v>
      </c>
      <c r="I1504" s="400" t="s">
        <v>171</v>
      </c>
    </row>
    <row r="1505" spans="1:9" s="369" customFormat="1" ht="15" customHeight="1">
      <c r="A1505" s="351"/>
      <c r="B1505" s="351"/>
      <c r="C1505" s="351"/>
      <c r="D1505" s="351"/>
      <c r="E1505" s="351"/>
      <c r="F1505" s="351"/>
      <c r="G1505" s="351"/>
      <c r="H1505" s="351"/>
      <c r="I1505" s="351"/>
    </row>
    <row r="1506" spans="1:9" s="351" customFormat="1" ht="15" customHeight="1">
      <c r="A1506" s="715" t="s">
        <v>401</v>
      </c>
      <c r="B1506" s="716"/>
      <c r="C1506" s="716"/>
      <c r="D1506" s="716"/>
      <c r="E1506" s="716"/>
      <c r="F1506" s="716"/>
      <c r="G1506" s="717"/>
      <c r="H1506" s="387">
        <f>H1457*H1230*2</f>
        <v>114570.25983599998</v>
      </c>
      <c r="I1506" s="400" t="s">
        <v>171</v>
      </c>
    </row>
    <row r="1507" spans="1:9" s="460" customFormat="1" ht="15" customHeight="1">
      <c r="A1507" s="351"/>
      <c r="B1507" s="351"/>
      <c r="C1507" s="351"/>
      <c r="D1507" s="351"/>
      <c r="E1507" s="351"/>
      <c r="F1507" s="351"/>
      <c r="G1507" s="351"/>
      <c r="H1507" s="351"/>
      <c r="I1507" s="351"/>
    </row>
    <row r="1508" spans="1:9" s="460" customFormat="1" ht="15" customHeight="1">
      <c r="A1508" s="715" t="s">
        <v>403</v>
      </c>
      <c r="B1508" s="716"/>
      <c r="C1508" s="716"/>
      <c r="D1508" s="716"/>
      <c r="E1508" s="716"/>
      <c r="F1508" s="716"/>
      <c r="G1508" s="717"/>
      <c r="H1508" s="387">
        <f>H1459*H1230*2</f>
        <v>68604.952115999986</v>
      </c>
      <c r="I1508" s="400" t="s">
        <v>171</v>
      </c>
    </row>
    <row r="1509" spans="1:9" s="460" customFormat="1" ht="15" customHeight="1">
      <c r="A1509" s="351"/>
      <c r="B1509" s="351"/>
      <c r="C1509" s="351"/>
      <c r="D1509" s="351"/>
      <c r="E1509" s="351"/>
      <c r="F1509" s="351"/>
      <c r="G1509" s="351"/>
      <c r="H1509" s="351"/>
      <c r="I1509" s="351"/>
    </row>
    <row r="1510" spans="1:9" s="460" customFormat="1" ht="15" customHeight="1">
      <c r="A1510" s="351"/>
      <c r="B1510" s="351"/>
      <c r="C1510" s="351"/>
      <c r="D1510" s="351"/>
      <c r="E1510" s="351"/>
      <c r="F1510" s="727" t="s">
        <v>399</v>
      </c>
      <c r="G1510" s="728"/>
      <c r="H1510" s="393">
        <f>SUM(H1502:H1508)</f>
        <v>313043.55529799993</v>
      </c>
      <c r="I1510" s="408" t="s">
        <v>171</v>
      </c>
    </row>
    <row r="1511" spans="1:9" s="460" customFormat="1" ht="15" customHeight="1">
      <c r="A1511" s="351"/>
      <c r="B1511" s="351"/>
      <c r="C1511" s="351"/>
      <c r="D1511" s="351"/>
      <c r="E1511" s="351"/>
      <c r="F1511" s="351"/>
      <c r="G1511" s="406"/>
      <c r="H1511" s="351"/>
      <c r="I1511" s="406"/>
    </row>
    <row r="1512" spans="1:9" s="460" customFormat="1" ht="15" customHeight="1">
      <c r="A1512" s="351"/>
      <c r="B1512" s="351"/>
      <c r="C1512" s="351"/>
      <c r="D1512" s="351"/>
      <c r="E1512" s="351"/>
      <c r="F1512" s="351"/>
      <c r="G1512" s="406"/>
      <c r="H1512" s="351"/>
      <c r="I1512" s="406"/>
    </row>
    <row r="1513" spans="1:9" s="460" customFormat="1" ht="15" customHeight="1">
      <c r="A1513" s="351"/>
      <c r="B1513" s="351"/>
      <c r="C1513" s="351"/>
      <c r="D1513" s="723" t="s">
        <v>404</v>
      </c>
      <c r="E1513" s="724"/>
      <c r="F1513" s="724"/>
      <c r="G1513" s="725">
        <f>SUM(H1496,H1526,H1510)</f>
        <v>51243273.061122</v>
      </c>
      <c r="H1513" s="713"/>
      <c r="I1513" s="714"/>
    </row>
    <row r="1514" spans="1:9" s="460" customFormat="1" ht="15" customHeight="1">
      <c r="A1514" s="369"/>
      <c r="B1514" s="369"/>
      <c r="C1514" s="369"/>
      <c r="D1514" s="369"/>
      <c r="E1514" s="369"/>
      <c r="F1514" s="369"/>
      <c r="G1514" s="369"/>
      <c r="H1514" s="369"/>
      <c r="I1514" s="369"/>
    </row>
    <row r="1515" spans="1:9" s="460" customFormat="1" ht="15" customHeight="1">
      <c r="A1515" s="351"/>
      <c r="B1515" s="351"/>
      <c r="C1515" s="351"/>
      <c r="D1515" s="351"/>
      <c r="E1515" s="351"/>
      <c r="F1515" s="351"/>
      <c r="G1515" s="351"/>
      <c r="H1515" s="351"/>
      <c r="I1515" s="351"/>
    </row>
    <row r="1516" spans="1:9" s="460" customFormat="1" ht="15" customHeight="1">
      <c r="A1516" s="459"/>
      <c r="B1516" s="61"/>
      <c r="C1516" s="61"/>
      <c r="D1516" s="61"/>
      <c r="E1516" s="61"/>
      <c r="F1516" s="61"/>
      <c r="G1516" s="61"/>
      <c r="H1516" s="61"/>
      <c r="I1516" s="61"/>
    </row>
    <row r="1517" spans="1:9" s="460" customFormat="1" ht="15" customHeight="1">
      <c r="A1517" s="456"/>
      <c r="B1517" s="157"/>
      <c r="C1517" s="157"/>
      <c r="D1517" s="157"/>
      <c r="E1517" s="157"/>
      <c r="F1517" s="157"/>
      <c r="G1517" s="157"/>
      <c r="H1517" s="157"/>
      <c r="I1517" s="157"/>
    </row>
    <row r="1518" spans="1:9" s="351" customFormat="1" ht="15" customHeight="1">
      <c r="A1518" s="459"/>
      <c r="B1518" s="61"/>
      <c r="C1518" s="61"/>
      <c r="D1518" s="61"/>
      <c r="E1518" s="61"/>
      <c r="F1518" s="61"/>
      <c r="G1518" s="61"/>
      <c r="H1518" s="457"/>
      <c r="I1518" s="72"/>
    </row>
    <row r="1519" spans="1:9" s="351" customFormat="1" ht="15" customHeight="1">
      <c r="A1519" s="409"/>
      <c r="B1519" s="412"/>
      <c r="C1519" s="412"/>
      <c r="D1519" s="412"/>
      <c r="E1519" s="412"/>
      <c r="F1519" s="412"/>
      <c r="G1519" s="412"/>
      <c r="H1519" s="457"/>
      <c r="I1519" s="72"/>
    </row>
    <row r="1520" spans="1:9" s="369" customFormat="1" ht="15" customHeight="1">
      <c r="A1520" s="459"/>
      <c r="B1520" s="61"/>
      <c r="C1520" s="61"/>
      <c r="D1520" s="61"/>
      <c r="E1520" s="61"/>
      <c r="F1520" s="61"/>
      <c r="G1520" s="61"/>
      <c r="H1520" s="457"/>
      <c r="I1520" s="72"/>
    </row>
    <row r="1521" spans="1:9" s="369" customFormat="1" ht="15" customHeight="1">
      <c r="A1521" s="409"/>
      <c r="B1521" s="412"/>
      <c r="C1521" s="412"/>
      <c r="D1521" s="412"/>
      <c r="E1521" s="412"/>
      <c r="F1521" s="412"/>
      <c r="G1521" s="412"/>
      <c r="H1521" s="457"/>
      <c r="I1521" s="72"/>
    </row>
    <row r="1522" spans="1:9" s="351" customFormat="1" ht="15" customHeight="1">
      <c r="A1522" s="459"/>
      <c r="B1522" s="61"/>
      <c r="C1522" s="61"/>
      <c r="D1522" s="61"/>
      <c r="E1522" s="61"/>
      <c r="F1522" s="61"/>
      <c r="G1522" s="61"/>
      <c r="H1522" s="457"/>
      <c r="I1522" s="72"/>
    </row>
    <row r="1523" spans="1:9" s="351" customFormat="1" ht="15" customHeight="1">
      <c r="A1523" s="409"/>
      <c r="B1523" s="412"/>
      <c r="C1523" s="412"/>
      <c r="D1523" s="412"/>
      <c r="E1523" s="412"/>
      <c r="F1523" s="412"/>
      <c r="G1523" s="412"/>
      <c r="H1523" s="457"/>
      <c r="I1523" s="72"/>
    </row>
    <row r="1524" spans="1:9" s="351" customFormat="1" ht="15" customHeight="1">
      <c r="A1524" s="459"/>
      <c r="B1524" s="61"/>
      <c r="C1524" s="61"/>
      <c r="D1524" s="61"/>
      <c r="E1524" s="61"/>
      <c r="F1524" s="61"/>
      <c r="G1524" s="61"/>
      <c r="H1524" s="457"/>
      <c r="I1524" s="72"/>
    </row>
    <row r="1525" spans="1:9" ht="15" customHeight="1">
      <c r="A1525" s="409"/>
      <c r="B1525" s="412"/>
      <c r="C1525" s="412"/>
      <c r="D1525" s="412"/>
      <c r="E1525" s="412"/>
      <c r="F1525" s="412"/>
      <c r="G1525" s="412"/>
      <c r="H1525" s="457"/>
      <c r="I1525" s="72"/>
    </row>
    <row r="1526" spans="1:9" ht="15" customHeight="1">
      <c r="A1526" s="57"/>
      <c r="B1526" s="54"/>
      <c r="C1526" s="54"/>
      <c r="D1526" s="458"/>
      <c r="E1526" s="54"/>
      <c r="F1526" s="61"/>
      <c r="G1526" s="61"/>
      <c r="H1526" s="461"/>
      <c r="I1526" s="157"/>
    </row>
    <row r="1527" spans="1:9" ht="15" customHeight="1">
      <c r="A1527" s="351"/>
      <c r="B1527" s="351"/>
      <c r="C1527" s="351"/>
      <c r="D1527" s="351"/>
      <c r="E1527" s="351"/>
      <c r="F1527" s="351"/>
      <c r="G1527" s="351"/>
      <c r="H1527" s="351"/>
      <c r="I1527" s="351"/>
    </row>
    <row r="1528" spans="1:9" ht="15" customHeight="1">
      <c r="A1528" s="351"/>
      <c r="B1528" s="351"/>
      <c r="C1528" s="351"/>
      <c r="D1528" s="351"/>
      <c r="E1528" s="351"/>
      <c r="F1528" s="351"/>
      <c r="G1528" s="351"/>
      <c r="H1528" s="351"/>
      <c r="I1528" s="351"/>
    </row>
    <row r="1529" spans="1:9" ht="15" customHeight="1">
      <c r="A1529" s="369"/>
      <c r="B1529" s="369"/>
      <c r="C1529" s="369"/>
      <c r="D1529" s="369"/>
      <c r="E1529" s="369"/>
      <c r="F1529" s="369"/>
      <c r="G1529" s="369"/>
      <c r="H1529" s="369"/>
      <c r="I1529" s="369"/>
    </row>
    <row r="1530" spans="1:9" ht="15" customHeight="1">
      <c r="A1530" s="369"/>
      <c r="B1530" s="369"/>
      <c r="C1530" s="369"/>
      <c r="D1530" s="369"/>
      <c r="E1530" s="369"/>
      <c r="F1530" s="369"/>
      <c r="G1530" s="369"/>
      <c r="H1530" s="369"/>
      <c r="I1530" s="369"/>
    </row>
    <row r="1531" spans="1:9" ht="15" customHeight="1">
      <c r="A1531" s="351"/>
      <c r="B1531" s="351"/>
      <c r="C1531" s="351"/>
      <c r="D1531" s="351"/>
      <c r="E1531" s="351"/>
      <c r="F1531" s="351"/>
      <c r="G1531" s="351"/>
      <c r="H1531" s="351"/>
      <c r="I1531" s="351"/>
    </row>
    <row r="1532" spans="1:9" ht="15" customHeight="1">
      <c r="A1532" s="351"/>
      <c r="B1532" s="351"/>
      <c r="C1532" s="351"/>
      <c r="D1532" s="351"/>
      <c r="E1532" s="351"/>
      <c r="F1532" s="351"/>
      <c r="G1532" s="351"/>
      <c r="H1532" s="351"/>
      <c r="I1532" s="351"/>
    </row>
    <row r="1533" spans="1:9" ht="15" customHeight="1">
      <c r="A1533" s="351"/>
      <c r="B1533" s="351"/>
      <c r="C1533" s="351"/>
      <c r="D1533" s="351"/>
      <c r="E1533" s="351"/>
      <c r="F1533" s="351"/>
      <c r="G1533" s="406"/>
      <c r="H1533" s="351"/>
      <c r="I1533" s="406"/>
    </row>
    <row r="1534" spans="1:9" ht="15" customHeight="1">
      <c r="A1534" s="375"/>
      <c r="B1534" s="375"/>
      <c r="C1534" s="375"/>
      <c r="D1534" s="375"/>
      <c r="E1534" s="375"/>
      <c r="F1534" s="375"/>
      <c r="G1534" s="137"/>
      <c r="H1534" s="375"/>
      <c r="I1534" s="137"/>
    </row>
    <row r="1535" spans="1:9" ht="15" customHeight="1">
      <c r="A1535" s="93"/>
      <c r="B1535" s="93"/>
      <c r="C1535" s="93"/>
      <c r="D1535" s="93"/>
      <c r="E1535" s="93"/>
      <c r="F1535" s="93"/>
      <c r="G1535" s="94"/>
      <c r="H1535" s="93"/>
      <c r="I1535" s="94"/>
    </row>
    <row r="1536" spans="1:9" ht="15" customHeight="1">
      <c r="A1536" s="788" t="s">
        <v>419</v>
      </c>
      <c r="B1536" s="789"/>
      <c r="C1536" s="789"/>
      <c r="D1536" s="789"/>
      <c r="E1536" s="789"/>
      <c r="F1536" s="789"/>
      <c r="G1536" s="789"/>
      <c r="H1536" s="789"/>
      <c r="I1536" s="789"/>
    </row>
    <row r="1537" spans="1:9" ht="15" customHeight="1">
      <c r="A1537" s="93"/>
      <c r="B1537" s="93"/>
      <c r="C1537" s="93"/>
      <c r="D1537" s="93"/>
      <c r="E1537" s="93"/>
      <c r="F1537" s="93"/>
      <c r="G1537" s="94"/>
      <c r="H1537" s="93"/>
      <c r="I1537" s="94"/>
    </row>
    <row r="1538" spans="1:9" ht="15" customHeight="1">
      <c r="A1538" s="740" t="s">
        <v>506</v>
      </c>
      <c r="B1538" s="738"/>
      <c r="C1538" s="738"/>
      <c r="D1538" s="738"/>
      <c r="E1538" s="738"/>
      <c r="F1538" s="738"/>
      <c r="G1538" s="738"/>
      <c r="H1538" s="738"/>
      <c r="I1538" s="741"/>
    </row>
    <row r="1539" spans="1:9" ht="15" customHeight="1">
      <c r="A1539" s="157"/>
      <c r="B1539" s="157"/>
      <c r="C1539" s="157"/>
      <c r="D1539" s="157"/>
      <c r="E1539" s="157"/>
      <c r="F1539" s="157"/>
      <c r="G1539" s="157"/>
      <c r="H1539" s="157"/>
      <c r="I1539" s="157"/>
    </row>
    <row r="1540" spans="1:9" ht="15" customHeight="1">
      <c r="A1540" s="715">
        <f>A1238</f>
        <v>11000</v>
      </c>
      <c r="B1540" s="742"/>
      <c r="C1540" s="742"/>
      <c r="D1540" s="742"/>
      <c r="E1540" s="453"/>
      <c r="F1540" s="453"/>
      <c r="G1540" s="454"/>
      <c r="H1540" s="387">
        <f>SUM(H1244,H1252,H1260,H1268)</f>
        <v>232879181.31999999</v>
      </c>
      <c r="I1540" s="384" t="s">
        <v>171</v>
      </c>
    </row>
    <row r="1541" spans="1:9" ht="15" customHeight="1">
      <c r="A1541" s="381"/>
      <c r="B1541" s="390"/>
      <c r="C1541" s="390"/>
      <c r="D1541" s="390"/>
      <c r="E1541" s="390"/>
      <c r="F1541" s="390"/>
      <c r="G1541" s="391"/>
      <c r="H1541" s="383"/>
      <c r="I1541" s="382"/>
    </row>
    <row r="1542" spans="1:9" ht="15" customHeight="1">
      <c r="A1542" s="720" t="str">
        <f>A1286</f>
        <v>DRAGA BACKHOE</v>
      </c>
      <c r="B1542" s="721"/>
      <c r="C1542" s="721"/>
      <c r="D1542" s="721"/>
      <c r="E1542" s="721"/>
      <c r="F1542" s="721"/>
      <c r="G1542" s="722"/>
      <c r="H1542" s="387">
        <f>SUM(H1292)</f>
        <v>5728170.4000000004</v>
      </c>
      <c r="I1542" s="384" t="s">
        <v>171</v>
      </c>
    </row>
    <row r="1543" spans="1:9" s="351" customFormat="1" ht="15" customHeight="1">
      <c r="A1543" s="392"/>
      <c r="B1543" s="392"/>
      <c r="C1543" s="392"/>
      <c r="D1543" s="392"/>
      <c r="E1543" s="392"/>
      <c r="F1543" s="392"/>
      <c r="G1543" s="392"/>
      <c r="H1543" s="392"/>
      <c r="I1543" s="392"/>
    </row>
    <row r="1544" spans="1:9" s="351" customFormat="1" ht="15" customHeight="1">
      <c r="A1544"/>
      <c r="B1544"/>
      <c r="C1544"/>
      <c r="D1544"/>
      <c r="E1544"/>
      <c r="F1544"/>
      <c r="G1544"/>
      <c r="H1544"/>
      <c r="I1544"/>
    </row>
    <row r="1545" spans="1:9" s="351" customFormat="1" ht="15" customHeight="1">
      <c r="A1545"/>
      <c r="B1545" s="48"/>
      <c r="C1545" s="48"/>
      <c r="D1545" s="723" t="s">
        <v>388</v>
      </c>
      <c r="E1545" s="724"/>
      <c r="F1545" s="724"/>
      <c r="G1545" s="725">
        <f>SUM(H1540:H1542)</f>
        <v>238607351.72</v>
      </c>
      <c r="H1545" s="713"/>
      <c r="I1545" s="714"/>
    </row>
    <row r="1546" spans="1:9" s="351" customFormat="1" ht="15" customHeight="1">
      <c r="A1546"/>
      <c r="B1546" s="48"/>
      <c r="C1546" s="48"/>
      <c r="D1546" s="48"/>
      <c r="E1546" s="48"/>
      <c r="F1546" s="48"/>
      <c r="G1546" s="71"/>
      <c r="H1546" s="48"/>
      <c r="I1546"/>
    </row>
    <row r="1547" spans="1:9" s="351" customFormat="1" ht="15" customHeight="1">
      <c r="A1547" s="313"/>
      <c r="B1547" s="313"/>
      <c r="C1547" s="313"/>
      <c r="D1547" s="313"/>
      <c r="E1547" s="56"/>
      <c r="F1547" s="225"/>
      <c r="G1547" s="225"/>
      <c r="H1547" s="236"/>
      <c r="I1547" s="225"/>
    </row>
    <row r="1548" spans="1:9" s="351" customFormat="1" ht="15" customHeight="1">
      <c r="A1548" s="740" t="s">
        <v>507</v>
      </c>
      <c r="B1548" s="738"/>
      <c r="C1548" s="738"/>
      <c r="D1548" s="738"/>
      <c r="E1548" s="738"/>
      <c r="F1548" s="738"/>
      <c r="G1548" s="738"/>
      <c r="H1548" s="738"/>
      <c r="I1548" s="741"/>
    </row>
    <row r="1549" spans="1:9" s="351" customFormat="1" ht="15" customHeight="1">
      <c r="A1549" s="157"/>
      <c r="B1549" s="157"/>
      <c r="C1549" s="157"/>
      <c r="D1549" s="157"/>
      <c r="E1549" s="157"/>
      <c r="F1549" s="157"/>
      <c r="G1549" s="157"/>
      <c r="H1549" s="157"/>
      <c r="I1549" s="157"/>
    </row>
    <row r="1550" spans="1:9" ht="15" customHeight="1">
      <c r="A1550" s="715">
        <f>A1540</f>
        <v>11000</v>
      </c>
      <c r="B1550" s="742"/>
      <c r="C1550" s="742"/>
      <c r="D1550" s="742"/>
      <c r="E1550" s="453"/>
      <c r="F1550" s="453"/>
      <c r="G1550" s="454"/>
      <c r="H1550" s="387">
        <f>SUM(H1245,H1253,H1261,H1269)</f>
        <v>42296121.860000007</v>
      </c>
      <c r="I1550" s="464" t="s">
        <v>171</v>
      </c>
    </row>
    <row r="1551" spans="1:9" ht="15" customHeight="1">
      <c r="A1551" s="381"/>
      <c r="B1551" s="390"/>
      <c r="C1551" s="390"/>
      <c r="D1551" s="390"/>
      <c r="E1551" s="390"/>
      <c r="F1551" s="390"/>
      <c r="G1551" s="391"/>
      <c r="H1551" s="383"/>
      <c r="I1551" s="421"/>
    </row>
    <row r="1552" spans="1:9" s="351" customFormat="1" ht="15" customHeight="1">
      <c r="A1552" s="720" t="str">
        <f>A1542</f>
        <v>DRAGA BACKHOE</v>
      </c>
      <c r="B1552" s="721"/>
      <c r="C1552" s="721"/>
      <c r="D1552" s="721"/>
      <c r="E1552" s="721"/>
      <c r="F1552" s="721"/>
      <c r="G1552" s="722"/>
      <c r="H1552" s="387">
        <f>SUM(H1293)</f>
        <v>515023.83</v>
      </c>
      <c r="I1552" s="464" t="s">
        <v>171</v>
      </c>
    </row>
    <row r="1553" spans="1:9" s="351" customFormat="1" ht="15" customHeight="1">
      <c r="A1553" s="392"/>
      <c r="B1553" s="392"/>
      <c r="C1553" s="392"/>
      <c r="D1553" s="392"/>
      <c r="E1553" s="392"/>
      <c r="F1553" s="392"/>
      <c r="G1553" s="392"/>
      <c r="H1553" s="392"/>
      <c r="I1553" s="392"/>
    </row>
    <row r="1554" spans="1:9" ht="15" customHeight="1">
      <c r="A1554" s="351"/>
      <c r="B1554" s="351"/>
      <c r="C1554" s="351"/>
      <c r="D1554" s="351"/>
      <c r="E1554" s="351"/>
      <c r="F1554" s="351"/>
      <c r="G1554" s="351"/>
      <c r="H1554" s="351"/>
      <c r="I1554" s="351"/>
    </row>
    <row r="1555" spans="1:9" ht="15" customHeight="1">
      <c r="A1555" s="351"/>
      <c r="B1555" s="367"/>
      <c r="C1555" s="367"/>
      <c r="D1555" s="723" t="s">
        <v>388</v>
      </c>
      <c r="E1555" s="724"/>
      <c r="F1555" s="724"/>
      <c r="G1555" s="725">
        <f>SUM(H1550:H1552)</f>
        <v>42811145.690000005</v>
      </c>
      <c r="H1555" s="713"/>
      <c r="I1555" s="714"/>
    </row>
    <row r="1556" spans="1:9" s="351" customFormat="1" ht="15" customHeight="1"/>
    <row r="1557" spans="1:9" s="351" customFormat="1" ht="15" customHeight="1"/>
    <row r="1558" spans="1:9" s="351" customFormat="1" ht="15" customHeight="1">
      <c r="A1558" s="740" t="s">
        <v>405</v>
      </c>
      <c r="B1558" s="738"/>
      <c r="C1558" s="738"/>
      <c r="D1558" s="738"/>
      <c r="E1558" s="738"/>
      <c r="F1558" s="738"/>
      <c r="G1558" s="738"/>
      <c r="H1558" s="738"/>
      <c r="I1558" s="741"/>
    </row>
    <row r="1559" spans="1:9" s="351" customFormat="1" ht="15" customHeight="1">
      <c r="A1559" s="56"/>
      <c r="B1559" s="56"/>
      <c r="C1559" s="56"/>
      <c r="D1559" s="56"/>
      <c r="E1559" s="56"/>
      <c r="F1559" s="56"/>
      <c r="G1559" s="83"/>
      <c r="H1559" s="56"/>
      <c r="I1559" s="83"/>
    </row>
    <row r="1560" spans="1:9" s="351" customFormat="1" ht="15" customHeight="1">
      <c r="A1560" s="715">
        <f>A1238</f>
        <v>11000</v>
      </c>
      <c r="B1560" s="742"/>
      <c r="C1560" s="742"/>
      <c r="D1560" s="742"/>
      <c r="E1560" s="453" t="s">
        <v>425</v>
      </c>
      <c r="F1560" s="453"/>
      <c r="G1560" s="454"/>
      <c r="H1560" s="387">
        <f>H1496</f>
        <v>50930229.505824</v>
      </c>
      <c r="I1560" s="400" t="s">
        <v>171</v>
      </c>
    </row>
    <row r="1561" spans="1:9" s="351" customFormat="1" ht="15" customHeight="1">
      <c r="A1561" s="381"/>
      <c r="B1561" s="390"/>
      <c r="C1561" s="390"/>
      <c r="D1561" s="390"/>
      <c r="E1561" s="390"/>
      <c r="F1561" s="390"/>
      <c r="G1561" s="391"/>
      <c r="H1561" s="383"/>
      <c r="I1561" s="397"/>
    </row>
    <row r="1562" spans="1:9" ht="15" customHeight="1">
      <c r="A1562" s="720" t="str">
        <f>A1286</f>
        <v>DRAGA BACKHOE</v>
      </c>
      <c r="B1562" s="721"/>
      <c r="C1562" s="721"/>
      <c r="D1562" s="721"/>
      <c r="E1562" s="721"/>
      <c r="F1562" s="721"/>
      <c r="G1562" s="722"/>
      <c r="H1562" s="387">
        <f>H1510</f>
        <v>313043.55529799993</v>
      </c>
      <c r="I1562" s="400" t="s">
        <v>171</v>
      </c>
    </row>
    <row r="1563" spans="1:9" s="351" customFormat="1" ht="15" customHeight="1">
      <c r="A1563" s="381"/>
      <c r="B1563" s="367"/>
      <c r="C1563" s="367"/>
      <c r="D1563" s="367"/>
      <c r="E1563" s="367"/>
      <c r="F1563" s="367"/>
      <c r="G1563" s="370"/>
      <c r="H1563" s="383"/>
      <c r="I1563" s="397"/>
    </row>
    <row r="1564" spans="1:9" s="351" customFormat="1" ht="15" customHeight="1">
      <c r="A1564" s="381"/>
      <c r="B1564" s="381"/>
      <c r="C1564" s="381"/>
      <c r="G1564" s="406"/>
      <c r="I1564" s="406"/>
    </row>
    <row r="1565" spans="1:9" ht="15" customHeight="1">
      <c r="A1565" s="354"/>
      <c r="B1565" s="354"/>
      <c r="C1565" s="354"/>
      <c r="D1565" s="723" t="s">
        <v>404</v>
      </c>
      <c r="E1565" s="724"/>
      <c r="F1565" s="724"/>
      <c r="G1565" s="725">
        <f>SUM(H1560:H1562)</f>
        <v>51243273.061122</v>
      </c>
      <c r="H1565" s="713"/>
      <c r="I1565" s="714"/>
    </row>
    <row r="1566" spans="1:9" s="351" customFormat="1" ht="15" customHeight="1"/>
    <row r="1567" spans="1:9" s="351" customFormat="1" ht="15" customHeight="1"/>
    <row r="1568" spans="1:9" s="351" customFormat="1" ht="15" customHeight="1">
      <c r="C1568" s="712" t="s">
        <v>299</v>
      </c>
      <c r="D1568" s="712"/>
      <c r="E1568" s="712"/>
      <c r="F1568" s="712"/>
      <c r="G1568" s="726">
        <f>SUM(G1545,G1565,G1555)</f>
        <v>332661770.47112197</v>
      </c>
      <c r="H1568" s="726"/>
      <c r="I1568" s="726"/>
    </row>
    <row r="1569" spans="1:9" s="351" customFormat="1" ht="15" customHeight="1">
      <c r="C1569" s="712"/>
      <c r="D1569" s="712"/>
      <c r="E1569" s="712"/>
      <c r="F1569" s="712"/>
      <c r="G1569" s="726"/>
      <c r="H1569" s="726"/>
      <c r="I1569" s="726"/>
    </row>
    <row r="1570" spans="1:9" ht="15" customHeight="1"/>
    <row r="1571" spans="1:9" s="351" customFormat="1" ht="15" customHeight="1"/>
    <row r="1572" spans="1:9" s="351" customFormat="1" ht="15" customHeight="1"/>
    <row r="1573" spans="1:9" s="351" customFormat="1" ht="15" customHeight="1"/>
    <row r="1574" spans="1:9" s="351" customFormat="1" ht="15" customHeight="1">
      <c r="A1574" s="366"/>
      <c r="B1574" s="366"/>
      <c r="C1574" s="366"/>
      <c r="D1574" s="366"/>
      <c r="E1574" s="366"/>
      <c r="F1574" s="366"/>
      <c r="G1574" s="366"/>
      <c r="H1574" s="698"/>
      <c r="I1574" s="366"/>
    </row>
    <row r="1575" spans="1:9" s="351" customFormat="1" ht="15" customHeight="1">
      <c r="A1575" s="389" t="s">
        <v>389</v>
      </c>
      <c r="B1575" s="381"/>
      <c r="C1575" s="381"/>
      <c r="D1575" s="381"/>
      <c r="E1575" s="381"/>
      <c r="F1575" s="381"/>
      <c r="G1575" s="382"/>
      <c r="H1575" s="381"/>
      <c r="I1575" s="382"/>
    </row>
    <row r="1576" spans="1:9" ht="15" customHeight="1">
      <c r="A1576" s="351"/>
      <c r="B1576" s="351"/>
      <c r="C1576" s="351"/>
      <c r="D1576" s="351"/>
      <c r="E1576" s="351"/>
      <c r="F1576" s="351"/>
      <c r="G1576" s="351"/>
      <c r="H1576" s="351"/>
      <c r="I1576" s="351"/>
    </row>
    <row r="1577" spans="1:9" ht="15" customHeight="1">
      <c r="B1577" s="351"/>
    </row>
    <row r="1578" spans="1:9">
      <c r="A1578" s="366"/>
    </row>
    <row r="1579" spans="1:9">
      <c r="A1579" s="366"/>
      <c r="B1579" s="366"/>
      <c r="C1579" s="366"/>
      <c r="D1579" s="366"/>
      <c r="E1579" s="366"/>
      <c r="F1579" s="366"/>
      <c r="G1579" s="366"/>
      <c r="H1579" s="366"/>
      <c r="I1579" s="366"/>
    </row>
    <row r="1580" spans="1:9">
      <c r="A1580" s="349" t="s">
        <v>108</v>
      </c>
      <c r="B1580" s="366"/>
      <c r="C1580" s="366"/>
      <c r="D1580" s="366"/>
      <c r="E1580" s="366"/>
      <c r="F1580" s="366"/>
      <c r="G1580" s="366"/>
      <c r="H1580" s="366"/>
      <c r="I1580" s="366"/>
    </row>
    <row r="1581" spans="1:9">
      <c r="A1581" s="44" t="s">
        <v>159</v>
      </c>
      <c r="G1581"/>
      <c r="I1581"/>
    </row>
    <row r="1582" spans="1:9">
      <c r="A1582" s="44" t="s">
        <v>109</v>
      </c>
      <c r="G1582"/>
      <c r="I1582"/>
    </row>
    <row r="1583" spans="1:9">
      <c r="A1583" s="149" t="s">
        <v>234</v>
      </c>
      <c r="G1583"/>
      <c r="I1583"/>
    </row>
    <row r="1584" spans="1:9">
      <c r="A1584" s="136"/>
      <c r="B1584" s="239"/>
      <c r="C1584" s="239"/>
      <c r="D1584" s="239"/>
      <c r="E1584" s="239"/>
      <c r="F1584" s="239"/>
      <c r="G1584" s="240"/>
      <c r="H1584" s="350"/>
      <c r="I1584" s="240"/>
    </row>
    <row r="1597" spans="7:9">
      <c r="G1597"/>
      <c r="I1597"/>
    </row>
    <row r="1598" spans="7:9">
      <c r="G1598"/>
      <c r="I1598"/>
    </row>
    <row r="1599" spans="7:9">
      <c r="G1599"/>
      <c r="I1599"/>
    </row>
    <row r="1600" spans="7:9">
      <c r="G1600"/>
      <c r="I1600"/>
    </row>
    <row r="1601" spans="7:9">
      <c r="G1601"/>
      <c r="I1601"/>
    </row>
    <row r="1602" spans="7:9">
      <c r="G1602"/>
      <c r="I1602"/>
    </row>
    <row r="1603" spans="7:9">
      <c r="G1603"/>
      <c r="I1603"/>
    </row>
    <row r="1604" spans="7:9">
      <c r="G1604"/>
      <c r="I1604"/>
    </row>
    <row r="1605" spans="7:9">
      <c r="G1605"/>
      <c r="I1605"/>
    </row>
    <row r="1606" spans="7:9">
      <c r="G1606"/>
      <c r="I1606"/>
    </row>
    <row r="1607" spans="7:9">
      <c r="G1607"/>
      <c r="I1607"/>
    </row>
    <row r="1608" spans="7:9">
      <c r="G1608"/>
      <c r="I1608"/>
    </row>
    <row r="1609" spans="7:9">
      <c r="G1609"/>
      <c r="I1609"/>
    </row>
    <row r="1610" spans="7:9">
      <c r="G1610"/>
      <c r="I1610"/>
    </row>
    <row r="1611" spans="7:9">
      <c r="G1611"/>
      <c r="I1611"/>
    </row>
    <row r="1612" spans="7:9">
      <c r="G1612"/>
      <c r="I1612"/>
    </row>
    <row r="1613" spans="7:9">
      <c r="G1613"/>
      <c r="I1613"/>
    </row>
    <row r="1614" spans="7:9">
      <c r="G1614"/>
      <c r="I1614"/>
    </row>
    <row r="1615" spans="7:9">
      <c r="G1615"/>
      <c r="I1615"/>
    </row>
    <row r="1616" spans="7:9">
      <c r="G1616"/>
      <c r="I1616"/>
    </row>
    <row r="1617" spans="7:9">
      <c r="G1617"/>
      <c r="I1617"/>
    </row>
    <row r="1618" spans="7:9">
      <c r="G1618"/>
      <c r="I1618"/>
    </row>
    <row r="1619" spans="7:9">
      <c r="G1619"/>
      <c r="I1619"/>
    </row>
    <row r="1620" spans="7:9">
      <c r="G1620"/>
      <c r="I1620"/>
    </row>
    <row r="1621" spans="7:9">
      <c r="G1621"/>
      <c r="I1621"/>
    </row>
    <row r="1622" spans="7:9">
      <c r="G1622"/>
      <c r="I1622"/>
    </row>
    <row r="1623" spans="7:9">
      <c r="G1623"/>
      <c r="I1623"/>
    </row>
    <row r="1624" spans="7:9">
      <c r="G1624"/>
      <c r="I1624"/>
    </row>
    <row r="1625" spans="7:9">
      <c r="G1625"/>
      <c r="I1625"/>
    </row>
    <row r="1626" spans="7:9">
      <c r="G1626"/>
      <c r="I1626"/>
    </row>
    <row r="1627" spans="7:9">
      <c r="G1627"/>
      <c r="I1627"/>
    </row>
    <row r="1628" spans="7:9">
      <c r="G1628"/>
      <c r="I1628"/>
    </row>
    <row r="1629" spans="7:9">
      <c r="G1629"/>
      <c r="I1629"/>
    </row>
    <row r="1630" spans="7:9">
      <c r="G1630"/>
      <c r="I1630"/>
    </row>
    <row r="1631" spans="7:9">
      <c r="G1631"/>
      <c r="I1631"/>
    </row>
    <row r="1632" spans="7:9">
      <c r="G1632"/>
      <c r="I1632"/>
    </row>
    <row r="1633" spans="7:9">
      <c r="G1633"/>
      <c r="I1633"/>
    </row>
    <row r="1634" spans="7:9">
      <c r="G1634"/>
      <c r="I1634"/>
    </row>
    <row r="1635" spans="7:9">
      <c r="G1635"/>
      <c r="I1635"/>
    </row>
    <row r="1636" spans="7:9">
      <c r="G1636"/>
      <c r="I1636"/>
    </row>
    <row r="1637" spans="7:9">
      <c r="G1637"/>
      <c r="I1637"/>
    </row>
    <row r="1638" spans="7:9">
      <c r="G1638"/>
      <c r="I1638"/>
    </row>
    <row r="1639" spans="7:9">
      <c r="G1639"/>
      <c r="I1639"/>
    </row>
    <row r="1640" spans="7:9">
      <c r="G1640"/>
      <c r="I1640"/>
    </row>
    <row r="1641" spans="7:9">
      <c r="G1641"/>
      <c r="I1641"/>
    </row>
    <row r="1642" spans="7:9">
      <c r="G1642"/>
      <c r="I1642"/>
    </row>
    <row r="1643" spans="7:9">
      <c r="G1643"/>
      <c r="I1643"/>
    </row>
    <row r="1644" spans="7:9">
      <c r="G1644"/>
      <c r="I1644"/>
    </row>
    <row r="1645" spans="7:9">
      <c r="G1645"/>
      <c r="I1645"/>
    </row>
    <row r="1646" spans="7:9">
      <c r="G1646"/>
      <c r="I1646"/>
    </row>
    <row r="1647" spans="7:9">
      <c r="G1647"/>
      <c r="I1647"/>
    </row>
    <row r="1648" spans="7:9">
      <c r="G1648"/>
      <c r="I1648"/>
    </row>
    <row r="1649" spans="7:9">
      <c r="G1649"/>
      <c r="I1649"/>
    </row>
    <row r="1650" spans="7:9">
      <c r="G1650"/>
      <c r="I1650"/>
    </row>
    <row r="1651" spans="7:9">
      <c r="G1651"/>
      <c r="I1651"/>
    </row>
    <row r="1652" spans="7:9">
      <c r="G1652"/>
      <c r="I1652"/>
    </row>
    <row r="1653" spans="7:9">
      <c r="G1653"/>
      <c r="I1653"/>
    </row>
    <row r="1654" spans="7:9">
      <c r="G1654"/>
      <c r="I1654"/>
    </row>
    <row r="1655" spans="7:9">
      <c r="G1655"/>
      <c r="I1655"/>
    </row>
    <row r="1656" spans="7:9">
      <c r="G1656"/>
      <c r="I1656"/>
    </row>
    <row r="1657" spans="7:9">
      <c r="G1657"/>
      <c r="I1657"/>
    </row>
    <row r="1658" spans="7:9">
      <c r="G1658"/>
      <c r="I1658"/>
    </row>
    <row r="1659" spans="7:9">
      <c r="G1659"/>
      <c r="I1659"/>
    </row>
    <row r="1660" spans="7:9">
      <c r="G1660"/>
      <c r="I1660"/>
    </row>
    <row r="1661" spans="7:9">
      <c r="G1661"/>
      <c r="I1661"/>
    </row>
    <row r="1662" spans="7:9">
      <c r="G1662"/>
      <c r="I1662"/>
    </row>
    <row r="1663" spans="7:9">
      <c r="G1663"/>
      <c r="I1663"/>
    </row>
    <row r="1664" spans="7:9">
      <c r="G1664"/>
      <c r="I1664"/>
    </row>
    <row r="1665" spans="7:9">
      <c r="G1665"/>
      <c r="I1665"/>
    </row>
    <row r="1666" spans="7:9">
      <c r="G1666"/>
      <c r="I1666"/>
    </row>
    <row r="1667" spans="7:9">
      <c r="G1667"/>
      <c r="I1667"/>
    </row>
    <row r="1668" spans="7:9">
      <c r="G1668"/>
      <c r="I1668"/>
    </row>
    <row r="1669" spans="7:9">
      <c r="G1669"/>
      <c r="I1669"/>
    </row>
    <row r="1670" spans="7:9">
      <c r="G1670"/>
      <c r="I1670"/>
    </row>
    <row r="1671" spans="7:9">
      <c r="G1671"/>
      <c r="I1671"/>
    </row>
    <row r="1672" spans="7:9">
      <c r="G1672"/>
      <c r="I1672"/>
    </row>
    <row r="1673" spans="7:9">
      <c r="G1673"/>
      <c r="I1673"/>
    </row>
    <row r="1674" spans="7:9">
      <c r="G1674"/>
      <c r="I1674"/>
    </row>
    <row r="1675" spans="7:9">
      <c r="G1675"/>
      <c r="I1675"/>
    </row>
    <row r="1676" spans="7:9">
      <c r="G1676"/>
      <c r="I1676"/>
    </row>
    <row r="1677" spans="7:9">
      <c r="G1677"/>
      <c r="I1677"/>
    </row>
    <row r="1678" spans="7:9">
      <c r="G1678"/>
      <c r="I1678"/>
    </row>
    <row r="1679" spans="7:9">
      <c r="G1679"/>
      <c r="I1679"/>
    </row>
    <row r="1680" spans="7:9">
      <c r="G1680"/>
      <c r="I1680"/>
    </row>
    <row r="1681" spans="7:9">
      <c r="G1681"/>
      <c r="I1681"/>
    </row>
    <row r="1682" spans="7:9">
      <c r="G1682"/>
      <c r="I1682"/>
    </row>
    <row r="1683" spans="7:9">
      <c r="G1683"/>
      <c r="I1683"/>
    </row>
    <row r="1684" spans="7:9">
      <c r="G1684"/>
      <c r="I1684"/>
    </row>
    <row r="1685" spans="7:9">
      <c r="G1685"/>
      <c r="I1685"/>
    </row>
    <row r="1686" spans="7:9">
      <c r="G1686"/>
      <c r="I1686"/>
    </row>
    <row r="1687" spans="7:9">
      <c r="G1687"/>
      <c r="I1687"/>
    </row>
    <row r="1688" spans="7:9">
      <c r="G1688"/>
      <c r="I1688"/>
    </row>
    <row r="1689" spans="7:9">
      <c r="G1689"/>
      <c r="I1689"/>
    </row>
    <row r="1690" spans="7:9">
      <c r="G1690"/>
      <c r="I1690"/>
    </row>
    <row r="1691" spans="7:9">
      <c r="G1691"/>
      <c r="I1691"/>
    </row>
    <row r="1692" spans="7:9">
      <c r="G1692"/>
      <c r="I1692"/>
    </row>
    <row r="1693" spans="7:9">
      <c r="G1693"/>
      <c r="I1693"/>
    </row>
    <row r="1694" spans="7:9">
      <c r="G1694"/>
      <c r="I1694"/>
    </row>
    <row r="1695" spans="7:9">
      <c r="G1695"/>
      <c r="I1695"/>
    </row>
    <row r="1696" spans="7:9">
      <c r="G1696"/>
      <c r="I1696"/>
    </row>
    <row r="1697" spans="7:9">
      <c r="G1697"/>
      <c r="I1697"/>
    </row>
    <row r="1698" spans="7:9">
      <c r="G1698"/>
      <c r="I1698"/>
    </row>
    <row r="1699" spans="7:9">
      <c r="G1699"/>
      <c r="I1699"/>
    </row>
    <row r="1700" spans="7:9">
      <c r="G1700"/>
      <c r="I1700"/>
    </row>
    <row r="1701" spans="7:9">
      <c r="G1701"/>
      <c r="I1701"/>
    </row>
    <row r="1702" spans="7:9">
      <c r="G1702"/>
      <c r="I1702"/>
    </row>
    <row r="1703" spans="7:9">
      <c r="G1703"/>
      <c r="I1703"/>
    </row>
    <row r="1704" spans="7:9">
      <c r="G1704"/>
      <c r="I1704"/>
    </row>
    <row r="1705" spans="7:9">
      <c r="G1705"/>
      <c r="I1705"/>
    </row>
    <row r="1706" spans="7:9">
      <c r="G1706"/>
      <c r="I1706"/>
    </row>
    <row r="1707" spans="7:9">
      <c r="G1707"/>
      <c r="I1707"/>
    </row>
    <row r="1708" spans="7:9">
      <c r="G1708"/>
      <c r="I1708"/>
    </row>
    <row r="1709" spans="7:9">
      <c r="G1709"/>
      <c r="I1709"/>
    </row>
    <row r="1710" spans="7:9">
      <c r="G1710"/>
      <c r="I1710"/>
    </row>
    <row r="1711" spans="7:9">
      <c r="G1711"/>
      <c r="I1711"/>
    </row>
    <row r="1712" spans="7:9">
      <c r="G1712"/>
      <c r="I1712"/>
    </row>
    <row r="1713" spans="7:9">
      <c r="G1713"/>
      <c r="I1713"/>
    </row>
    <row r="1714" spans="7:9">
      <c r="G1714"/>
      <c r="I1714"/>
    </row>
    <row r="1715" spans="7:9">
      <c r="G1715"/>
      <c r="I1715"/>
    </row>
    <row r="1716" spans="7:9">
      <c r="G1716"/>
      <c r="I1716"/>
    </row>
    <row r="1717" spans="7:9">
      <c r="G1717"/>
      <c r="I1717"/>
    </row>
    <row r="1718" spans="7:9">
      <c r="G1718"/>
      <c r="I1718"/>
    </row>
    <row r="1719" spans="7:9">
      <c r="G1719"/>
      <c r="I1719"/>
    </row>
    <row r="1720" spans="7:9">
      <c r="G1720"/>
      <c r="I1720"/>
    </row>
    <row r="1721" spans="7:9">
      <c r="G1721"/>
      <c r="I1721"/>
    </row>
    <row r="1722" spans="7:9">
      <c r="G1722"/>
      <c r="I1722"/>
    </row>
    <row r="1723" spans="7:9">
      <c r="G1723"/>
      <c r="I1723"/>
    </row>
    <row r="1724" spans="7:9">
      <c r="G1724"/>
      <c r="I1724"/>
    </row>
    <row r="1725" spans="7:9">
      <c r="G1725"/>
      <c r="I1725"/>
    </row>
    <row r="1726" spans="7:9">
      <c r="G1726"/>
      <c r="I1726"/>
    </row>
    <row r="1727" spans="7:9">
      <c r="G1727"/>
      <c r="I1727"/>
    </row>
    <row r="1728" spans="7:9">
      <c r="G1728"/>
      <c r="I1728"/>
    </row>
    <row r="1729" spans="7:9">
      <c r="G1729"/>
      <c r="I1729"/>
    </row>
    <row r="1730" spans="7:9">
      <c r="G1730"/>
      <c r="I1730"/>
    </row>
    <row r="1731" spans="7:9">
      <c r="G1731"/>
      <c r="I1731"/>
    </row>
    <row r="1732" spans="7:9">
      <c r="G1732"/>
      <c r="I1732"/>
    </row>
    <row r="1733" spans="7:9">
      <c r="G1733"/>
      <c r="I1733"/>
    </row>
    <row r="1734" spans="7:9">
      <c r="G1734"/>
      <c r="I1734"/>
    </row>
    <row r="1735" spans="7:9">
      <c r="G1735"/>
      <c r="I1735"/>
    </row>
    <row r="1736" spans="7:9">
      <c r="G1736"/>
      <c r="I1736"/>
    </row>
    <row r="1737" spans="7:9">
      <c r="G1737"/>
      <c r="I1737"/>
    </row>
    <row r="1738" spans="7:9">
      <c r="G1738"/>
      <c r="I1738"/>
    </row>
    <row r="1739" spans="7:9">
      <c r="G1739"/>
      <c r="I1739"/>
    </row>
    <row r="1740" spans="7:9">
      <c r="G1740"/>
      <c r="I1740"/>
    </row>
    <row r="1741" spans="7:9">
      <c r="G1741"/>
      <c r="I1741"/>
    </row>
    <row r="1742" spans="7:9">
      <c r="G1742"/>
      <c r="I1742"/>
    </row>
    <row r="1743" spans="7:9">
      <c r="G1743"/>
      <c r="I1743"/>
    </row>
    <row r="1744" spans="7:9">
      <c r="G1744"/>
      <c r="I1744"/>
    </row>
    <row r="1745" spans="7:9">
      <c r="G1745"/>
      <c r="I1745"/>
    </row>
    <row r="1746" spans="7:9">
      <c r="G1746"/>
      <c r="I1746"/>
    </row>
    <row r="1747" spans="7:9">
      <c r="G1747"/>
      <c r="I1747"/>
    </row>
    <row r="1748" spans="7:9">
      <c r="G1748"/>
      <c r="I1748"/>
    </row>
    <row r="1749" spans="7:9">
      <c r="G1749"/>
      <c r="I1749"/>
    </row>
    <row r="1750" spans="7:9">
      <c r="G1750"/>
      <c r="I1750"/>
    </row>
    <row r="1751" spans="7:9">
      <c r="G1751"/>
      <c r="I1751"/>
    </row>
    <row r="1752" spans="7:9">
      <c r="G1752"/>
      <c r="I1752"/>
    </row>
    <row r="1753" spans="7:9">
      <c r="G1753"/>
      <c r="I1753"/>
    </row>
    <row r="1754" spans="7:9">
      <c r="G1754"/>
      <c r="I1754"/>
    </row>
    <row r="1755" spans="7:9">
      <c r="G1755"/>
      <c r="I1755"/>
    </row>
    <row r="1756" spans="7:9">
      <c r="G1756"/>
      <c r="I1756"/>
    </row>
    <row r="1757" spans="7:9">
      <c r="G1757"/>
      <c r="I1757"/>
    </row>
    <row r="1758" spans="7:9">
      <c r="G1758"/>
      <c r="I1758"/>
    </row>
    <row r="1759" spans="7:9">
      <c r="G1759"/>
      <c r="I1759"/>
    </row>
    <row r="1760" spans="7:9">
      <c r="G1760"/>
      <c r="I1760"/>
    </row>
    <row r="1761" spans="7:9">
      <c r="G1761"/>
      <c r="I1761"/>
    </row>
    <row r="1762" spans="7:9">
      <c r="G1762"/>
      <c r="I1762"/>
    </row>
    <row r="1763" spans="7:9">
      <c r="G1763"/>
      <c r="I1763"/>
    </row>
    <row r="1764" spans="7:9">
      <c r="G1764"/>
      <c r="I1764"/>
    </row>
    <row r="1765" spans="7:9">
      <c r="G1765"/>
      <c r="I1765"/>
    </row>
    <row r="1766" spans="7:9">
      <c r="G1766"/>
      <c r="I1766"/>
    </row>
    <row r="1767" spans="7:9">
      <c r="G1767"/>
      <c r="I1767"/>
    </row>
    <row r="1768" spans="7:9">
      <c r="G1768"/>
      <c r="I1768"/>
    </row>
    <row r="1769" spans="7:9">
      <c r="G1769"/>
      <c r="I1769"/>
    </row>
    <row r="1770" spans="7:9">
      <c r="G1770"/>
      <c r="I1770"/>
    </row>
    <row r="1771" spans="7:9">
      <c r="G1771"/>
      <c r="I1771"/>
    </row>
    <row r="1772" spans="7:9">
      <c r="G1772"/>
      <c r="I1772"/>
    </row>
    <row r="1773" spans="7:9">
      <c r="G1773"/>
      <c r="I1773"/>
    </row>
    <row r="1774" spans="7:9">
      <c r="G1774"/>
      <c r="I1774"/>
    </row>
    <row r="1775" spans="7:9">
      <c r="G1775"/>
      <c r="I1775"/>
    </row>
    <row r="1776" spans="7:9">
      <c r="G1776"/>
      <c r="I1776"/>
    </row>
    <row r="1777" spans="7:9">
      <c r="G1777"/>
      <c r="I1777"/>
    </row>
    <row r="1778" spans="7:9">
      <c r="G1778"/>
      <c r="I1778"/>
    </row>
    <row r="1779" spans="7:9">
      <c r="G1779"/>
      <c r="I1779"/>
    </row>
    <row r="1780" spans="7:9">
      <c r="G1780"/>
      <c r="I1780"/>
    </row>
    <row r="1781" spans="7:9">
      <c r="G1781"/>
      <c r="I1781"/>
    </row>
    <row r="1782" spans="7:9">
      <c r="G1782"/>
      <c r="I1782"/>
    </row>
    <row r="1783" spans="7:9">
      <c r="G1783"/>
      <c r="I1783"/>
    </row>
    <row r="1784" spans="7:9">
      <c r="G1784"/>
      <c r="I1784"/>
    </row>
    <row r="1785" spans="7:9">
      <c r="G1785"/>
      <c r="I1785"/>
    </row>
    <row r="1786" spans="7:9">
      <c r="G1786"/>
      <c r="I1786"/>
    </row>
    <row r="1787" spans="7:9">
      <c r="G1787"/>
      <c r="I1787"/>
    </row>
    <row r="1788" spans="7:9">
      <c r="G1788"/>
      <c r="I1788"/>
    </row>
    <row r="1789" spans="7:9">
      <c r="G1789"/>
      <c r="I1789"/>
    </row>
    <row r="1790" spans="7:9">
      <c r="G1790"/>
      <c r="I1790"/>
    </row>
    <row r="1791" spans="7:9">
      <c r="G1791"/>
      <c r="I1791"/>
    </row>
    <row r="1792" spans="7:9">
      <c r="G1792"/>
      <c r="I1792"/>
    </row>
    <row r="1793" spans="7:9">
      <c r="G1793"/>
      <c r="I1793"/>
    </row>
    <row r="1794" spans="7:9">
      <c r="G1794"/>
      <c r="I1794"/>
    </row>
    <row r="1795" spans="7:9">
      <c r="G1795"/>
      <c r="I1795"/>
    </row>
    <row r="1796" spans="7:9">
      <c r="G1796"/>
      <c r="I1796"/>
    </row>
    <row r="1797" spans="7:9">
      <c r="G1797"/>
      <c r="I1797"/>
    </row>
    <row r="1798" spans="7:9">
      <c r="G1798"/>
      <c r="I1798"/>
    </row>
    <row r="1799" spans="7:9">
      <c r="G1799"/>
      <c r="I1799"/>
    </row>
    <row r="1800" spans="7:9">
      <c r="G1800"/>
      <c r="I1800"/>
    </row>
    <row r="1801" spans="7:9">
      <c r="G1801"/>
      <c r="I1801"/>
    </row>
    <row r="1802" spans="7:9">
      <c r="G1802"/>
      <c r="I1802"/>
    </row>
    <row r="1803" spans="7:9">
      <c r="G1803"/>
      <c r="I1803"/>
    </row>
    <row r="1804" spans="7:9">
      <c r="G1804"/>
      <c r="I1804"/>
    </row>
    <row r="1805" spans="7:9">
      <c r="G1805"/>
      <c r="I1805"/>
    </row>
    <row r="1806" spans="7:9">
      <c r="G1806"/>
      <c r="I1806"/>
    </row>
    <row r="1807" spans="7:9">
      <c r="G1807"/>
      <c r="I1807"/>
    </row>
    <row r="1808" spans="7:9">
      <c r="G1808"/>
      <c r="I1808"/>
    </row>
    <row r="1809" spans="7:9">
      <c r="G1809"/>
      <c r="I1809"/>
    </row>
    <row r="1810" spans="7:9">
      <c r="G1810"/>
      <c r="I1810"/>
    </row>
    <row r="1811" spans="7:9">
      <c r="G1811"/>
      <c r="I1811"/>
    </row>
    <row r="1812" spans="7:9">
      <c r="G1812"/>
      <c r="I1812"/>
    </row>
    <row r="1813" spans="7:9">
      <c r="G1813"/>
      <c r="I1813"/>
    </row>
    <row r="1814" spans="7:9">
      <c r="G1814"/>
      <c r="I1814"/>
    </row>
    <row r="1815" spans="7:9">
      <c r="G1815"/>
      <c r="I1815"/>
    </row>
    <row r="1816" spans="7:9">
      <c r="G1816"/>
      <c r="I1816"/>
    </row>
    <row r="1817" spans="7:9">
      <c r="G1817"/>
      <c r="I1817"/>
    </row>
    <row r="1818" spans="7:9">
      <c r="G1818"/>
      <c r="I1818"/>
    </row>
    <row r="1819" spans="7:9">
      <c r="G1819"/>
      <c r="I1819"/>
    </row>
    <row r="1820" spans="7:9">
      <c r="G1820"/>
      <c r="I1820"/>
    </row>
    <row r="1821" spans="7:9">
      <c r="G1821"/>
      <c r="I1821"/>
    </row>
    <row r="1822" spans="7:9">
      <c r="G1822"/>
      <c r="I1822"/>
    </row>
    <row r="1823" spans="7:9">
      <c r="G1823"/>
      <c r="I1823"/>
    </row>
    <row r="1824" spans="7:9">
      <c r="G1824"/>
      <c r="I1824"/>
    </row>
    <row r="1825" spans="7:9">
      <c r="G1825"/>
      <c r="I1825"/>
    </row>
    <row r="1826" spans="7:9">
      <c r="G1826"/>
      <c r="I1826"/>
    </row>
    <row r="1827" spans="7:9">
      <c r="G1827"/>
      <c r="I1827"/>
    </row>
    <row r="1828" spans="7:9">
      <c r="G1828"/>
      <c r="I1828"/>
    </row>
    <row r="1829" spans="7:9">
      <c r="G1829"/>
      <c r="I1829"/>
    </row>
    <row r="1830" spans="7:9">
      <c r="G1830"/>
      <c r="I1830"/>
    </row>
    <row r="1831" spans="7:9">
      <c r="G1831"/>
      <c r="I1831"/>
    </row>
    <row r="1832" spans="7:9">
      <c r="G1832"/>
      <c r="I1832"/>
    </row>
    <row r="1833" spans="7:9">
      <c r="G1833"/>
      <c r="I1833"/>
    </row>
    <row r="1834" spans="7:9">
      <c r="G1834"/>
      <c r="I1834"/>
    </row>
    <row r="1835" spans="7:9">
      <c r="G1835"/>
      <c r="I1835"/>
    </row>
    <row r="1836" spans="7:9">
      <c r="G1836"/>
      <c r="I1836"/>
    </row>
    <row r="1837" spans="7:9">
      <c r="G1837"/>
      <c r="I1837"/>
    </row>
    <row r="1838" spans="7:9">
      <c r="G1838"/>
      <c r="I1838"/>
    </row>
    <row r="1839" spans="7:9">
      <c r="G1839"/>
      <c r="I1839"/>
    </row>
    <row r="1840" spans="7:9">
      <c r="G1840"/>
      <c r="I1840"/>
    </row>
    <row r="1841" spans="7:9">
      <c r="G1841"/>
      <c r="I1841"/>
    </row>
    <row r="1842" spans="7:9">
      <c r="G1842"/>
      <c r="I1842"/>
    </row>
    <row r="1843" spans="7:9">
      <c r="G1843"/>
      <c r="I1843"/>
    </row>
    <row r="1844" spans="7:9">
      <c r="G1844"/>
      <c r="I1844"/>
    </row>
    <row r="1845" spans="7:9">
      <c r="G1845"/>
      <c r="I1845"/>
    </row>
    <row r="1846" spans="7:9">
      <c r="G1846"/>
      <c r="I1846"/>
    </row>
    <row r="1847" spans="7:9">
      <c r="G1847"/>
      <c r="I1847"/>
    </row>
    <row r="1848" spans="7:9">
      <c r="G1848"/>
      <c r="I1848"/>
    </row>
    <row r="1849" spans="7:9">
      <c r="G1849"/>
      <c r="I1849"/>
    </row>
    <row r="1850" spans="7:9">
      <c r="G1850"/>
      <c r="I1850"/>
    </row>
    <row r="1851" spans="7:9">
      <c r="G1851"/>
      <c r="I1851"/>
    </row>
    <row r="1852" spans="7:9">
      <c r="G1852"/>
      <c r="I1852"/>
    </row>
    <row r="1853" spans="7:9">
      <c r="G1853"/>
      <c r="I1853"/>
    </row>
    <row r="1854" spans="7:9">
      <c r="G1854"/>
      <c r="I1854"/>
    </row>
    <row r="1855" spans="7:9">
      <c r="G1855"/>
      <c r="I1855"/>
    </row>
    <row r="1856" spans="7:9">
      <c r="G1856"/>
      <c r="I1856"/>
    </row>
    <row r="1857" spans="7:9">
      <c r="G1857"/>
      <c r="I1857"/>
    </row>
    <row r="1858" spans="7:9">
      <c r="G1858"/>
      <c r="I1858"/>
    </row>
    <row r="1859" spans="7:9">
      <c r="G1859"/>
      <c r="I1859"/>
    </row>
    <row r="1860" spans="7:9">
      <c r="G1860"/>
      <c r="I1860"/>
    </row>
    <row r="1861" spans="7:9">
      <c r="G1861"/>
      <c r="I1861"/>
    </row>
    <row r="1862" spans="7:9">
      <c r="G1862"/>
      <c r="I1862"/>
    </row>
    <row r="1863" spans="7:9">
      <c r="G1863"/>
      <c r="I1863"/>
    </row>
    <row r="1864" spans="7:9">
      <c r="G1864"/>
      <c r="I1864"/>
    </row>
    <row r="1865" spans="7:9">
      <c r="G1865"/>
      <c r="I1865"/>
    </row>
    <row r="1866" spans="7:9">
      <c r="G1866"/>
      <c r="I1866"/>
    </row>
    <row r="1867" spans="7:9">
      <c r="G1867"/>
      <c r="I1867"/>
    </row>
    <row r="1868" spans="7:9">
      <c r="G1868"/>
      <c r="I1868"/>
    </row>
    <row r="1869" spans="7:9">
      <c r="G1869"/>
      <c r="I1869"/>
    </row>
    <row r="1870" spans="7:9">
      <c r="G1870"/>
      <c r="I1870"/>
    </row>
    <row r="1871" spans="7:9">
      <c r="G1871"/>
      <c r="I1871"/>
    </row>
    <row r="1872" spans="7:9">
      <c r="G1872"/>
      <c r="I1872"/>
    </row>
    <row r="1873" spans="7:9">
      <c r="G1873"/>
      <c r="I1873"/>
    </row>
    <row r="1874" spans="7:9">
      <c r="G1874"/>
      <c r="I1874"/>
    </row>
    <row r="1875" spans="7:9">
      <c r="G1875"/>
      <c r="I1875"/>
    </row>
    <row r="1876" spans="7:9">
      <c r="G1876"/>
      <c r="I1876"/>
    </row>
    <row r="1877" spans="7:9">
      <c r="G1877"/>
      <c r="I1877"/>
    </row>
    <row r="1878" spans="7:9">
      <c r="G1878"/>
      <c r="I1878"/>
    </row>
    <row r="1879" spans="7:9">
      <c r="G1879"/>
      <c r="I1879"/>
    </row>
    <row r="1880" spans="7:9">
      <c r="G1880"/>
      <c r="I1880"/>
    </row>
    <row r="1881" spans="7:9">
      <c r="G1881"/>
      <c r="I1881"/>
    </row>
    <row r="1882" spans="7:9">
      <c r="G1882"/>
      <c r="I1882"/>
    </row>
    <row r="1883" spans="7:9">
      <c r="G1883"/>
      <c r="I1883"/>
    </row>
    <row r="1884" spans="7:9">
      <c r="G1884"/>
      <c r="I1884"/>
    </row>
    <row r="1885" spans="7:9">
      <c r="G1885"/>
      <c r="I1885"/>
    </row>
    <row r="1886" spans="7:9">
      <c r="G1886"/>
      <c r="I1886"/>
    </row>
    <row r="1887" spans="7:9">
      <c r="G1887"/>
      <c r="I1887"/>
    </row>
    <row r="1888" spans="7:9">
      <c r="G1888"/>
      <c r="I1888"/>
    </row>
    <row r="1889" spans="7:9">
      <c r="G1889"/>
      <c r="I1889"/>
    </row>
    <row r="1890" spans="7:9">
      <c r="G1890"/>
      <c r="I1890"/>
    </row>
    <row r="1891" spans="7:9">
      <c r="G1891"/>
      <c r="I1891"/>
    </row>
    <row r="1892" spans="7:9">
      <c r="G1892"/>
      <c r="I1892"/>
    </row>
    <row r="1893" spans="7:9">
      <c r="G1893"/>
      <c r="I1893"/>
    </row>
    <row r="1894" spans="7:9">
      <c r="G1894"/>
      <c r="I1894"/>
    </row>
    <row r="1895" spans="7:9">
      <c r="G1895"/>
      <c r="I1895"/>
    </row>
    <row r="1896" spans="7:9">
      <c r="G1896"/>
      <c r="I1896"/>
    </row>
    <row r="1897" spans="7:9">
      <c r="G1897"/>
      <c r="I1897"/>
    </row>
    <row r="1898" spans="7:9">
      <c r="G1898"/>
      <c r="I1898"/>
    </row>
    <row r="1899" spans="7:9">
      <c r="G1899"/>
      <c r="I1899"/>
    </row>
    <row r="1900" spans="7:9">
      <c r="G1900"/>
      <c r="I1900"/>
    </row>
    <row r="1901" spans="7:9">
      <c r="G1901"/>
      <c r="I1901"/>
    </row>
    <row r="1902" spans="7:9">
      <c r="G1902"/>
      <c r="I1902"/>
    </row>
    <row r="1903" spans="7:9">
      <c r="G1903"/>
      <c r="I1903"/>
    </row>
    <row r="1904" spans="7:9">
      <c r="G1904"/>
      <c r="I1904"/>
    </row>
    <row r="1905" spans="7:9">
      <c r="G1905"/>
      <c r="I1905"/>
    </row>
    <row r="1906" spans="7:9">
      <c r="G1906"/>
      <c r="I1906"/>
    </row>
    <row r="1907" spans="7:9">
      <c r="G1907"/>
      <c r="I1907"/>
    </row>
    <row r="1908" spans="7:9">
      <c r="G1908"/>
      <c r="I1908"/>
    </row>
    <row r="1909" spans="7:9">
      <c r="G1909"/>
      <c r="I1909"/>
    </row>
    <row r="1910" spans="7:9">
      <c r="G1910"/>
      <c r="I1910"/>
    </row>
    <row r="1911" spans="7:9">
      <c r="G1911"/>
      <c r="I1911"/>
    </row>
    <row r="1912" spans="7:9">
      <c r="G1912"/>
      <c r="I1912"/>
    </row>
    <row r="1913" spans="7:9">
      <c r="G1913"/>
      <c r="I1913"/>
    </row>
    <row r="1914" spans="7:9">
      <c r="G1914"/>
      <c r="I1914"/>
    </row>
    <row r="1915" spans="7:9">
      <c r="G1915"/>
      <c r="I1915"/>
    </row>
    <row r="1916" spans="7:9">
      <c r="G1916"/>
      <c r="I1916"/>
    </row>
    <row r="1917" spans="7:9">
      <c r="G1917"/>
      <c r="I1917"/>
    </row>
    <row r="1918" spans="7:9">
      <c r="G1918"/>
      <c r="I1918"/>
    </row>
    <row r="1919" spans="7:9">
      <c r="G1919"/>
      <c r="I1919"/>
    </row>
    <row r="1920" spans="7:9">
      <c r="G1920"/>
      <c r="I1920"/>
    </row>
    <row r="1921" spans="7:9">
      <c r="G1921"/>
      <c r="I1921"/>
    </row>
    <row r="1922" spans="7:9">
      <c r="G1922"/>
      <c r="I1922"/>
    </row>
    <row r="1923" spans="7:9">
      <c r="G1923"/>
      <c r="I1923"/>
    </row>
    <row r="1924" spans="7:9">
      <c r="G1924"/>
      <c r="I1924"/>
    </row>
    <row r="1925" spans="7:9">
      <c r="G1925"/>
      <c r="I1925"/>
    </row>
    <row r="1926" spans="7:9">
      <c r="G1926"/>
      <c r="I1926"/>
    </row>
    <row r="1927" spans="7:9">
      <c r="G1927"/>
      <c r="I1927"/>
    </row>
    <row r="1928" spans="7:9">
      <c r="G1928"/>
      <c r="I1928"/>
    </row>
    <row r="1929" spans="7:9">
      <c r="G1929"/>
      <c r="I1929"/>
    </row>
    <row r="1930" spans="7:9">
      <c r="G1930"/>
      <c r="I1930"/>
    </row>
    <row r="1931" spans="7:9">
      <c r="G1931"/>
      <c r="I1931"/>
    </row>
    <row r="1932" spans="7:9">
      <c r="G1932"/>
      <c r="I1932"/>
    </row>
    <row r="1933" spans="7:9">
      <c r="G1933"/>
      <c r="I1933"/>
    </row>
    <row r="1934" spans="7:9">
      <c r="G1934"/>
      <c r="I1934"/>
    </row>
    <row r="1935" spans="7:9">
      <c r="G1935"/>
      <c r="I1935"/>
    </row>
    <row r="1936" spans="7:9">
      <c r="G1936"/>
      <c r="I1936"/>
    </row>
    <row r="1937" spans="7:9">
      <c r="G1937"/>
      <c r="I1937"/>
    </row>
    <row r="1938" spans="7:9">
      <c r="G1938"/>
      <c r="I1938"/>
    </row>
    <row r="1939" spans="7:9">
      <c r="G1939"/>
      <c r="I1939"/>
    </row>
    <row r="1940" spans="7:9">
      <c r="G1940"/>
      <c r="I1940"/>
    </row>
    <row r="1941" spans="7:9">
      <c r="G1941"/>
      <c r="I1941"/>
    </row>
    <row r="1942" spans="7:9">
      <c r="G1942"/>
      <c r="I1942"/>
    </row>
    <row r="1943" spans="7:9">
      <c r="G1943"/>
      <c r="I1943"/>
    </row>
    <row r="1944" spans="7:9">
      <c r="G1944"/>
      <c r="I1944"/>
    </row>
    <row r="1945" spans="7:9">
      <c r="G1945"/>
      <c r="I1945"/>
    </row>
    <row r="1946" spans="7:9">
      <c r="G1946"/>
      <c r="I1946"/>
    </row>
    <row r="1947" spans="7:9">
      <c r="G1947"/>
      <c r="I1947"/>
    </row>
    <row r="1948" spans="7:9">
      <c r="G1948"/>
      <c r="I1948"/>
    </row>
    <row r="1949" spans="7:9">
      <c r="G1949"/>
      <c r="I1949"/>
    </row>
    <row r="1950" spans="7:9">
      <c r="G1950"/>
      <c r="I1950"/>
    </row>
    <row r="1951" spans="7:9">
      <c r="G1951"/>
      <c r="I1951"/>
    </row>
    <row r="1952" spans="7:9">
      <c r="G1952"/>
      <c r="I1952"/>
    </row>
    <row r="1953" spans="7:9">
      <c r="G1953"/>
      <c r="I1953"/>
    </row>
    <row r="1954" spans="7:9">
      <c r="G1954"/>
      <c r="I1954"/>
    </row>
    <row r="1955" spans="7:9">
      <c r="G1955"/>
      <c r="I1955"/>
    </row>
    <row r="1956" spans="7:9">
      <c r="G1956"/>
      <c r="I1956"/>
    </row>
    <row r="1957" spans="7:9">
      <c r="G1957"/>
      <c r="I1957"/>
    </row>
    <row r="1958" spans="7:9">
      <c r="G1958"/>
      <c r="I1958"/>
    </row>
    <row r="1959" spans="7:9">
      <c r="G1959"/>
      <c r="I1959"/>
    </row>
    <row r="1960" spans="7:9">
      <c r="G1960"/>
      <c r="I1960"/>
    </row>
    <row r="1961" spans="7:9">
      <c r="G1961"/>
      <c r="I1961"/>
    </row>
    <row r="1962" spans="7:9">
      <c r="G1962"/>
      <c r="I1962"/>
    </row>
    <row r="1963" spans="7:9">
      <c r="G1963"/>
      <c r="I1963"/>
    </row>
    <row r="1964" spans="7:9">
      <c r="G1964"/>
      <c r="I1964"/>
    </row>
    <row r="1965" spans="7:9">
      <c r="G1965"/>
      <c r="I1965"/>
    </row>
    <row r="1966" spans="7:9">
      <c r="G1966"/>
      <c r="I1966"/>
    </row>
    <row r="1967" spans="7:9">
      <c r="G1967"/>
      <c r="I1967"/>
    </row>
    <row r="1968" spans="7:9">
      <c r="G1968"/>
      <c r="I1968"/>
    </row>
    <row r="1969" spans="7:9">
      <c r="G1969"/>
      <c r="I1969"/>
    </row>
    <row r="1970" spans="7:9">
      <c r="G1970"/>
      <c r="I1970"/>
    </row>
    <row r="1971" spans="7:9">
      <c r="G1971"/>
      <c r="I1971"/>
    </row>
    <row r="1972" spans="7:9">
      <c r="G1972"/>
      <c r="I1972"/>
    </row>
    <row r="1973" spans="7:9">
      <c r="G1973"/>
      <c r="I1973"/>
    </row>
    <row r="1974" spans="7:9">
      <c r="G1974"/>
      <c r="I1974"/>
    </row>
    <row r="1975" spans="7:9">
      <c r="G1975"/>
      <c r="I1975"/>
    </row>
    <row r="1976" spans="7:9">
      <c r="G1976"/>
      <c r="I1976"/>
    </row>
    <row r="1977" spans="7:9">
      <c r="G1977"/>
      <c r="I1977"/>
    </row>
    <row r="1978" spans="7:9">
      <c r="G1978"/>
      <c r="I1978"/>
    </row>
    <row r="1979" spans="7:9">
      <c r="G1979"/>
      <c r="I1979"/>
    </row>
    <row r="1980" spans="7:9">
      <c r="G1980"/>
      <c r="I1980"/>
    </row>
    <row r="1981" spans="7:9">
      <c r="G1981"/>
      <c r="I1981"/>
    </row>
    <row r="1982" spans="7:9">
      <c r="G1982"/>
      <c r="I1982"/>
    </row>
    <row r="1983" spans="7:9">
      <c r="G1983"/>
      <c r="I1983"/>
    </row>
    <row r="1984" spans="7:9">
      <c r="G1984"/>
      <c r="I1984"/>
    </row>
    <row r="1985" spans="7:9">
      <c r="G1985"/>
      <c r="I1985"/>
    </row>
    <row r="1986" spans="7:9">
      <c r="G1986"/>
      <c r="I1986"/>
    </row>
    <row r="1987" spans="7:9">
      <c r="G1987"/>
      <c r="I1987"/>
    </row>
    <row r="1988" spans="7:9">
      <c r="G1988"/>
      <c r="I1988"/>
    </row>
    <row r="1989" spans="7:9">
      <c r="G1989"/>
      <c r="I1989"/>
    </row>
    <row r="1990" spans="7:9">
      <c r="G1990"/>
      <c r="I1990"/>
    </row>
    <row r="1991" spans="7:9">
      <c r="G1991"/>
      <c r="I1991"/>
    </row>
    <row r="1992" spans="7:9">
      <c r="G1992"/>
      <c r="I1992"/>
    </row>
    <row r="1993" spans="7:9">
      <c r="G1993"/>
      <c r="I1993"/>
    </row>
    <row r="1994" spans="7:9">
      <c r="G1994"/>
      <c r="I1994"/>
    </row>
    <row r="1995" spans="7:9">
      <c r="G1995"/>
      <c r="I1995"/>
    </row>
    <row r="1996" spans="7:9">
      <c r="G1996"/>
      <c r="I1996"/>
    </row>
    <row r="1997" spans="7:9">
      <c r="G1997"/>
      <c r="I1997"/>
    </row>
    <row r="1998" spans="7:9">
      <c r="G1998"/>
      <c r="I1998"/>
    </row>
    <row r="1999" spans="7:9">
      <c r="G1999"/>
      <c r="I1999"/>
    </row>
    <row r="2000" spans="7:9">
      <c r="G2000"/>
      <c r="I2000"/>
    </row>
    <row r="2001" spans="7:9">
      <c r="G2001"/>
      <c r="I2001"/>
    </row>
    <row r="2002" spans="7:9">
      <c r="G2002"/>
      <c r="I2002"/>
    </row>
    <row r="2003" spans="7:9">
      <c r="G2003"/>
      <c r="I2003"/>
    </row>
    <row r="2004" spans="7:9">
      <c r="G2004"/>
      <c r="I2004"/>
    </row>
    <row r="2005" spans="7:9">
      <c r="G2005"/>
      <c r="I2005"/>
    </row>
    <row r="2006" spans="7:9">
      <c r="G2006"/>
      <c r="I2006"/>
    </row>
    <row r="2007" spans="7:9">
      <c r="G2007"/>
      <c r="I2007"/>
    </row>
    <row r="2008" spans="7:9">
      <c r="G2008"/>
      <c r="I2008"/>
    </row>
    <row r="2009" spans="7:9">
      <c r="G2009"/>
      <c r="I2009"/>
    </row>
    <row r="2010" spans="7:9">
      <c r="G2010"/>
      <c r="I2010"/>
    </row>
    <row r="2011" spans="7:9">
      <c r="G2011"/>
      <c r="I2011"/>
    </row>
    <row r="2012" spans="7:9">
      <c r="G2012"/>
      <c r="I2012"/>
    </row>
    <row r="2013" spans="7:9">
      <c r="G2013"/>
      <c r="I2013"/>
    </row>
    <row r="2014" spans="7:9">
      <c r="G2014"/>
      <c r="I2014"/>
    </row>
    <row r="2015" spans="7:9">
      <c r="G2015"/>
      <c r="I2015"/>
    </row>
    <row r="2016" spans="7:9">
      <c r="G2016"/>
      <c r="I2016"/>
    </row>
    <row r="2017" spans="7:9">
      <c r="G2017"/>
      <c r="I2017"/>
    </row>
    <row r="2018" spans="7:9">
      <c r="G2018"/>
      <c r="I2018"/>
    </row>
    <row r="2019" spans="7:9">
      <c r="G2019"/>
      <c r="I2019"/>
    </row>
    <row r="2020" spans="7:9">
      <c r="G2020"/>
      <c r="I2020"/>
    </row>
    <row r="2021" spans="7:9">
      <c r="G2021"/>
      <c r="I2021"/>
    </row>
    <row r="2022" spans="7:9">
      <c r="G2022"/>
      <c r="I2022"/>
    </row>
    <row r="2023" spans="7:9">
      <c r="G2023"/>
      <c r="I2023"/>
    </row>
    <row r="2024" spans="7:9">
      <c r="G2024"/>
      <c r="I2024"/>
    </row>
    <row r="2025" spans="7:9">
      <c r="G2025"/>
      <c r="I2025"/>
    </row>
    <row r="2026" spans="7:9">
      <c r="G2026"/>
      <c r="I2026"/>
    </row>
    <row r="2027" spans="7:9">
      <c r="G2027"/>
      <c r="I2027"/>
    </row>
    <row r="2028" spans="7:9">
      <c r="G2028"/>
      <c r="I2028"/>
    </row>
    <row r="2029" spans="7:9">
      <c r="G2029"/>
      <c r="I2029"/>
    </row>
    <row r="2030" spans="7:9">
      <c r="G2030"/>
      <c r="I2030"/>
    </row>
    <row r="2031" spans="7:9">
      <c r="G2031"/>
      <c r="I2031"/>
    </row>
    <row r="2032" spans="7:9">
      <c r="G2032"/>
      <c r="I2032"/>
    </row>
    <row r="2033" spans="7:9">
      <c r="G2033"/>
      <c r="I2033"/>
    </row>
    <row r="2034" spans="7:9">
      <c r="G2034"/>
      <c r="I2034"/>
    </row>
    <row r="2035" spans="7:9">
      <c r="G2035"/>
      <c r="I2035"/>
    </row>
    <row r="2036" spans="7:9">
      <c r="G2036"/>
      <c r="I2036"/>
    </row>
    <row r="2037" spans="7:9">
      <c r="G2037"/>
      <c r="I2037"/>
    </row>
    <row r="2038" spans="7:9">
      <c r="G2038"/>
      <c r="I2038"/>
    </row>
    <row r="2039" spans="7:9">
      <c r="G2039"/>
      <c r="I2039"/>
    </row>
    <row r="2040" spans="7:9">
      <c r="G2040"/>
      <c r="I2040"/>
    </row>
    <row r="2041" spans="7:9">
      <c r="G2041"/>
      <c r="I2041"/>
    </row>
    <row r="2042" spans="7:9">
      <c r="G2042"/>
      <c r="I2042"/>
    </row>
    <row r="2043" spans="7:9">
      <c r="G2043"/>
      <c r="I2043"/>
    </row>
    <row r="2044" spans="7:9">
      <c r="G2044"/>
      <c r="I2044"/>
    </row>
    <row r="2045" spans="7:9">
      <c r="G2045"/>
      <c r="I2045"/>
    </row>
    <row r="2046" spans="7:9">
      <c r="G2046"/>
      <c r="I2046"/>
    </row>
    <row r="2047" spans="7:9">
      <c r="G2047"/>
      <c r="I2047"/>
    </row>
    <row r="2048" spans="7:9">
      <c r="G2048"/>
      <c r="I2048"/>
    </row>
    <row r="2049" spans="7:9">
      <c r="G2049"/>
      <c r="I2049"/>
    </row>
    <row r="2050" spans="7:9">
      <c r="G2050"/>
      <c r="I2050"/>
    </row>
    <row r="2051" spans="7:9">
      <c r="G2051"/>
      <c r="I2051"/>
    </row>
    <row r="2052" spans="7:9">
      <c r="G2052"/>
      <c r="I2052"/>
    </row>
    <row r="2053" spans="7:9">
      <c r="G2053"/>
      <c r="I2053"/>
    </row>
    <row r="2054" spans="7:9">
      <c r="G2054"/>
      <c r="I2054"/>
    </row>
    <row r="2055" spans="7:9">
      <c r="G2055"/>
      <c r="I2055"/>
    </row>
    <row r="2056" spans="7:9">
      <c r="G2056"/>
      <c r="I2056"/>
    </row>
    <row r="2057" spans="7:9">
      <c r="G2057"/>
      <c r="I2057"/>
    </row>
    <row r="2058" spans="7:9">
      <c r="G2058"/>
      <c r="I2058"/>
    </row>
    <row r="2059" spans="7:9">
      <c r="G2059"/>
      <c r="I2059"/>
    </row>
    <row r="2060" spans="7:9">
      <c r="G2060"/>
      <c r="I2060"/>
    </row>
    <row r="2061" spans="7:9">
      <c r="G2061"/>
      <c r="I2061"/>
    </row>
    <row r="2062" spans="7:9">
      <c r="G2062"/>
      <c r="I2062"/>
    </row>
    <row r="2063" spans="7:9">
      <c r="G2063"/>
      <c r="I2063"/>
    </row>
    <row r="2064" spans="7:9">
      <c r="G2064"/>
      <c r="I2064"/>
    </row>
    <row r="2065" spans="7:9">
      <c r="G2065"/>
      <c r="I2065"/>
    </row>
    <row r="2066" spans="7:9">
      <c r="G2066"/>
      <c r="I2066"/>
    </row>
    <row r="2067" spans="7:9">
      <c r="G2067"/>
      <c r="I2067"/>
    </row>
    <row r="2068" spans="7:9">
      <c r="G2068"/>
      <c r="I2068"/>
    </row>
    <row r="2069" spans="7:9">
      <c r="G2069"/>
      <c r="I2069"/>
    </row>
    <row r="2070" spans="7:9">
      <c r="G2070"/>
      <c r="I2070"/>
    </row>
    <row r="2071" spans="7:9">
      <c r="G2071"/>
      <c r="I2071"/>
    </row>
    <row r="2072" spans="7:9">
      <c r="G2072"/>
      <c r="I2072"/>
    </row>
    <row r="2073" spans="7:9">
      <c r="G2073"/>
      <c r="I2073"/>
    </row>
    <row r="2074" spans="7:9">
      <c r="G2074"/>
      <c r="I2074"/>
    </row>
    <row r="2075" spans="7:9">
      <c r="G2075"/>
      <c r="I2075"/>
    </row>
    <row r="2076" spans="7:9">
      <c r="G2076"/>
      <c r="I2076"/>
    </row>
    <row r="2077" spans="7:9">
      <c r="G2077"/>
      <c r="I2077"/>
    </row>
    <row r="2078" spans="7:9">
      <c r="G2078"/>
      <c r="I2078"/>
    </row>
    <row r="2079" spans="7:9">
      <c r="G2079"/>
      <c r="I2079"/>
    </row>
    <row r="2080" spans="7:9">
      <c r="G2080"/>
      <c r="I2080"/>
    </row>
    <row r="2081" spans="7:9">
      <c r="G2081"/>
      <c r="I2081"/>
    </row>
    <row r="2082" spans="7:9">
      <c r="G2082"/>
      <c r="I2082"/>
    </row>
    <row r="2083" spans="7:9">
      <c r="G2083"/>
      <c r="I2083"/>
    </row>
    <row r="2084" spans="7:9">
      <c r="G2084"/>
      <c r="I2084"/>
    </row>
    <row r="2085" spans="7:9">
      <c r="G2085"/>
      <c r="I2085"/>
    </row>
    <row r="2086" spans="7:9">
      <c r="G2086"/>
      <c r="I2086"/>
    </row>
    <row r="2087" spans="7:9">
      <c r="G2087"/>
      <c r="I2087"/>
    </row>
    <row r="2088" spans="7:9">
      <c r="G2088"/>
      <c r="I2088"/>
    </row>
    <row r="2089" spans="7:9">
      <c r="G2089"/>
      <c r="I2089"/>
    </row>
    <row r="2090" spans="7:9">
      <c r="G2090"/>
      <c r="I2090"/>
    </row>
    <row r="2091" spans="7:9">
      <c r="G2091"/>
      <c r="I2091"/>
    </row>
    <row r="2092" spans="7:9">
      <c r="G2092"/>
      <c r="I2092"/>
    </row>
    <row r="2093" spans="7:9">
      <c r="G2093"/>
      <c r="I2093"/>
    </row>
    <row r="2094" spans="7:9">
      <c r="G2094"/>
      <c r="I2094"/>
    </row>
    <row r="2095" spans="7:9">
      <c r="G2095"/>
      <c r="I2095"/>
    </row>
    <row r="2096" spans="7:9">
      <c r="G2096"/>
      <c r="I2096"/>
    </row>
    <row r="2097" spans="7:9">
      <c r="G2097"/>
      <c r="I2097"/>
    </row>
    <row r="2098" spans="7:9">
      <c r="G2098"/>
      <c r="I2098"/>
    </row>
    <row r="2099" spans="7:9">
      <c r="G2099"/>
      <c r="I2099"/>
    </row>
    <row r="2100" spans="7:9">
      <c r="G2100"/>
      <c r="I2100"/>
    </row>
    <row r="2101" spans="7:9">
      <c r="G2101"/>
      <c r="I2101"/>
    </row>
    <row r="2102" spans="7:9">
      <c r="G2102"/>
      <c r="I2102"/>
    </row>
    <row r="2103" spans="7:9">
      <c r="G2103"/>
      <c r="I2103"/>
    </row>
    <row r="2104" spans="7:9">
      <c r="G2104"/>
      <c r="I2104"/>
    </row>
    <row r="2105" spans="7:9">
      <c r="G2105"/>
      <c r="I2105"/>
    </row>
    <row r="2106" spans="7:9">
      <c r="G2106"/>
      <c r="I2106"/>
    </row>
    <row r="2107" spans="7:9">
      <c r="G2107"/>
      <c r="I2107"/>
    </row>
    <row r="2108" spans="7:9">
      <c r="G2108"/>
      <c r="I2108"/>
    </row>
    <row r="2109" spans="7:9">
      <c r="G2109"/>
      <c r="I2109"/>
    </row>
    <row r="2110" spans="7:9">
      <c r="G2110"/>
      <c r="I2110"/>
    </row>
    <row r="2111" spans="7:9">
      <c r="G2111"/>
      <c r="I2111"/>
    </row>
    <row r="2112" spans="7:9">
      <c r="G2112"/>
      <c r="I2112"/>
    </row>
    <row r="2113" spans="7:9">
      <c r="G2113"/>
      <c r="I2113"/>
    </row>
    <row r="2114" spans="7:9">
      <c r="G2114"/>
      <c r="I2114"/>
    </row>
    <row r="2115" spans="7:9">
      <c r="G2115"/>
      <c r="I2115"/>
    </row>
    <row r="2116" spans="7:9">
      <c r="G2116"/>
      <c r="I2116"/>
    </row>
    <row r="2117" spans="7:9">
      <c r="G2117"/>
      <c r="I2117"/>
    </row>
    <row r="2118" spans="7:9">
      <c r="G2118"/>
      <c r="I2118"/>
    </row>
    <row r="2119" spans="7:9">
      <c r="G2119"/>
      <c r="I2119"/>
    </row>
    <row r="2120" spans="7:9">
      <c r="G2120"/>
      <c r="I2120"/>
    </row>
    <row r="2121" spans="7:9">
      <c r="G2121"/>
      <c r="I2121"/>
    </row>
    <row r="2122" spans="7:9">
      <c r="G2122"/>
      <c r="I2122"/>
    </row>
    <row r="2123" spans="7:9">
      <c r="G2123"/>
      <c r="I2123"/>
    </row>
    <row r="2124" spans="7:9">
      <c r="G2124"/>
      <c r="I2124"/>
    </row>
    <row r="2125" spans="7:9">
      <c r="G2125"/>
      <c r="I2125"/>
    </row>
    <row r="2126" spans="7:9">
      <c r="G2126"/>
      <c r="I2126"/>
    </row>
    <row r="2127" spans="7:9">
      <c r="G2127"/>
      <c r="I2127"/>
    </row>
    <row r="2128" spans="7:9">
      <c r="G2128"/>
      <c r="I2128"/>
    </row>
    <row r="2129" spans="7:9">
      <c r="G2129"/>
      <c r="I2129"/>
    </row>
    <row r="2130" spans="7:9">
      <c r="G2130"/>
      <c r="I2130"/>
    </row>
    <row r="2131" spans="7:9">
      <c r="G2131"/>
      <c r="I2131"/>
    </row>
    <row r="2132" spans="7:9">
      <c r="G2132"/>
      <c r="I2132"/>
    </row>
    <row r="2133" spans="7:9">
      <c r="G2133"/>
      <c r="I2133"/>
    </row>
    <row r="2134" spans="7:9">
      <c r="G2134"/>
      <c r="I2134"/>
    </row>
    <row r="2135" spans="7:9">
      <c r="G2135"/>
      <c r="I2135"/>
    </row>
    <row r="2136" spans="7:9">
      <c r="G2136"/>
      <c r="I2136"/>
    </row>
    <row r="2137" spans="7:9">
      <c r="G2137"/>
      <c r="I2137"/>
    </row>
    <row r="2138" spans="7:9">
      <c r="G2138"/>
      <c r="I2138"/>
    </row>
    <row r="2139" spans="7:9">
      <c r="G2139"/>
      <c r="I2139"/>
    </row>
    <row r="2140" spans="7:9">
      <c r="G2140"/>
      <c r="I2140"/>
    </row>
    <row r="2141" spans="7:9">
      <c r="G2141"/>
      <c r="I2141"/>
    </row>
    <row r="2142" spans="7:9">
      <c r="G2142"/>
      <c r="I2142"/>
    </row>
    <row r="2143" spans="7:9">
      <c r="G2143"/>
      <c r="I2143"/>
    </row>
    <row r="2144" spans="7:9">
      <c r="G2144"/>
      <c r="I2144"/>
    </row>
    <row r="2145" spans="7:9">
      <c r="G2145"/>
      <c r="I2145"/>
    </row>
    <row r="2146" spans="7:9">
      <c r="G2146"/>
      <c r="I2146"/>
    </row>
    <row r="2147" spans="7:9">
      <c r="G2147"/>
      <c r="I2147"/>
    </row>
    <row r="2148" spans="7:9">
      <c r="G2148"/>
      <c r="I2148"/>
    </row>
    <row r="2149" spans="7:9">
      <c r="G2149"/>
      <c r="I2149"/>
    </row>
    <row r="2150" spans="7:9">
      <c r="G2150"/>
      <c r="I2150"/>
    </row>
    <row r="2151" spans="7:9">
      <c r="G2151"/>
      <c r="I2151"/>
    </row>
    <row r="2152" spans="7:9">
      <c r="G2152"/>
      <c r="I2152"/>
    </row>
    <row r="2153" spans="7:9">
      <c r="G2153"/>
      <c r="I2153"/>
    </row>
    <row r="2154" spans="7:9">
      <c r="G2154"/>
      <c r="I2154"/>
    </row>
    <row r="2155" spans="7:9">
      <c r="G2155"/>
      <c r="I2155"/>
    </row>
    <row r="2156" spans="7:9">
      <c r="G2156"/>
      <c r="I2156"/>
    </row>
    <row r="2157" spans="7:9">
      <c r="G2157"/>
      <c r="I2157"/>
    </row>
    <row r="2158" spans="7:9">
      <c r="G2158"/>
      <c r="I2158"/>
    </row>
    <row r="2159" spans="7:9">
      <c r="G2159"/>
      <c r="I2159"/>
    </row>
    <row r="2160" spans="7:9">
      <c r="G2160"/>
      <c r="I2160"/>
    </row>
    <row r="2161" spans="7:9">
      <c r="G2161"/>
      <c r="I2161"/>
    </row>
    <row r="2162" spans="7:9">
      <c r="G2162"/>
      <c r="I2162"/>
    </row>
    <row r="2163" spans="7:9">
      <c r="G2163"/>
      <c r="I2163"/>
    </row>
    <row r="2164" spans="7:9">
      <c r="G2164"/>
      <c r="I2164"/>
    </row>
    <row r="2165" spans="7:9">
      <c r="G2165"/>
      <c r="I2165"/>
    </row>
    <row r="2166" spans="7:9">
      <c r="G2166"/>
      <c r="I2166"/>
    </row>
    <row r="2167" spans="7:9">
      <c r="G2167"/>
      <c r="I2167"/>
    </row>
    <row r="2168" spans="7:9">
      <c r="G2168"/>
      <c r="I2168"/>
    </row>
    <row r="2169" spans="7:9">
      <c r="G2169"/>
      <c r="I2169"/>
    </row>
    <row r="2170" spans="7:9">
      <c r="G2170"/>
      <c r="I2170"/>
    </row>
    <row r="2171" spans="7:9">
      <c r="G2171"/>
      <c r="I2171"/>
    </row>
    <row r="2172" spans="7:9">
      <c r="G2172"/>
      <c r="I2172"/>
    </row>
    <row r="2173" spans="7:9">
      <c r="G2173"/>
      <c r="I2173"/>
    </row>
    <row r="2174" spans="7:9">
      <c r="G2174"/>
      <c r="I2174"/>
    </row>
    <row r="2175" spans="7:9">
      <c r="G2175"/>
      <c r="I2175"/>
    </row>
    <row r="2176" spans="7:9">
      <c r="G2176"/>
      <c r="I2176"/>
    </row>
    <row r="2177" spans="7:9">
      <c r="G2177"/>
      <c r="I2177"/>
    </row>
    <row r="2178" spans="7:9">
      <c r="G2178"/>
      <c r="I2178"/>
    </row>
    <row r="2179" spans="7:9">
      <c r="G2179"/>
      <c r="I2179"/>
    </row>
    <row r="2180" spans="7:9">
      <c r="G2180"/>
      <c r="I2180"/>
    </row>
    <row r="2181" spans="7:9">
      <c r="G2181"/>
      <c r="I2181"/>
    </row>
    <row r="2182" spans="7:9">
      <c r="G2182"/>
      <c r="I2182"/>
    </row>
    <row r="2183" spans="7:9">
      <c r="G2183"/>
      <c r="I2183"/>
    </row>
    <row r="2184" spans="7:9">
      <c r="G2184"/>
      <c r="I2184"/>
    </row>
    <row r="2185" spans="7:9">
      <c r="G2185"/>
      <c r="I2185"/>
    </row>
    <row r="2186" spans="7:9">
      <c r="G2186"/>
      <c r="I2186"/>
    </row>
    <row r="2187" spans="7:9">
      <c r="G2187"/>
      <c r="I2187"/>
    </row>
    <row r="2188" spans="7:9">
      <c r="G2188"/>
      <c r="I2188"/>
    </row>
    <row r="2189" spans="7:9">
      <c r="G2189"/>
      <c r="I2189"/>
    </row>
    <row r="2190" spans="7:9">
      <c r="G2190"/>
      <c r="I2190"/>
    </row>
    <row r="2191" spans="7:9">
      <c r="G2191"/>
      <c r="I2191"/>
    </row>
    <row r="2192" spans="7:9">
      <c r="G2192"/>
      <c r="I2192"/>
    </row>
    <row r="2193" spans="7:9">
      <c r="G2193"/>
      <c r="I2193"/>
    </row>
    <row r="2194" spans="7:9">
      <c r="G2194"/>
      <c r="I2194"/>
    </row>
    <row r="2195" spans="7:9">
      <c r="G2195"/>
      <c r="I2195"/>
    </row>
    <row r="2196" spans="7:9">
      <c r="G2196"/>
      <c r="I2196"/>
    </row>
    <row r="2197" spans="7:9">
      <c r="G2197"/>
      <c r="I2197"/>
    </row>
    <row r="2198" spans="7:9">
      <c r="G2198"/>
      <c r="I2198"/>
    </row>
    <row r="2199" spans="7:9">
      <c r="G2199"/>
      <c r="I2199"/>
    </row>
    <row r="2200" spans="7:9">
      <c r="G2200"/>
      <c r="I2200"/>
    </row>
    <row r="2201" spans="7:9">
      <c r="G2201"/>
      <c r="I2201"/>
    </row>
    <row r="2202" spans="7:9">
      <c r="G2202"/>
      <c r="I2202"/>
    </row>
    <row r="2203" spans="7:9">
      <c r="G2203"/>
      <c r="I2203"/>
    </row>
    <row r="2204" spans="7:9">
      <c r="G2204"/>
      <c r="I2204"/>
    </row>
    <row r="2205" spans="7:9">
      <c r="G2205"/>
      <c r="I2205"/>
    </row>
    <row r="2206" spans="7:9">
      <c r="G2206"/>
      <c r="I2206"/>
    </row>
    <row r="2207" spans="7:9">
      <c r="G2207"/>
      <c r="I2207"/>
    </row>
    <row r="2208" spans="7:9">
      <c r="G2208"/>
      <c r="I2208"/>
    </row>
    <row r="2209" spans="7:9">
      <c r="G2209"/>
      <c r="I2209"/>
    </row>
    <row r="2210" spans="7:9">
      <c r="G2210"/>
      <c r="I2210"/>
    </row>
    <row r="2211" spans="7:9">
      <c r="G2211"/>
      <c r="I2211"/>
    </row>
    <row r="2212" spans="7:9">
      <c r="G2212"/>
      <c r="I2212"/>
    </row>
    <row r="2213" spans="7:9">
      <c r="G2213"/>
      <c r="I2213"/>
    </row>
    <row r="2214" spans="7:9">
      <c r="G2214"/>
      <c r="I2214"/>
    </row>
    <row r="2215" spans="7:9">
      <c r="G2215"/>
      <c r="I2215"/>
    </row>
    <row r="2216" spans="7:9">
      <c r="G2216"/>
      <c r="I2216"/>
    </row>
    <row r="2217" spans="7:9">
      <c r="G2217"/>
      <c r="I2217"/>
    </row>
    <row r="2218" spans="7:9">
      <c r="G2218"/>
      <c r="I2218"/>
    </row>
    <row r="2219" spans="7:9">
      <c r="G2219"/>
      <c r="I2219"/>
    </row>
    <row r="2220" spans="7:9">
      <c r="G2220"/>
      <c r="I2220"/>
    </row>
    <row r="2221" spans="7:9">
      <c r="G2221"/>
      <c r="I2221"/>
    </row>
    <row r="2222" spans="7:9">
      <c r="G2222"/>
      <c r="I2222"/>
    </row>
    <row r="2223" spans="7:9">
      <c r="G2223"/>
      <c r="I2223"/>
    </row>
    <row r="2224" spans="7:9">
      <c r="G2224"/>
      <c r="I2224"/>
    </row>
    <row r="2225" spans="7:9">
      <c r="G2225"/>
      <c r="I2225"/>
    </row>
    <row r="2226" spans="7:9">
      <c r="G2226"/>
      <c r="I2226"/>
    </row>
    <row r="2227" spans="7:9">
      <c r="G2227"/>
      <c r="I2227"/>
    </row>
    <row r="2228" spans="7:9">
      <c r="G2228"/>
      <c r="I2228"/>
    </row>
    <row r="2229" spans="7:9">
      <c r="G2229"/>
      <c r="I2229"/>
    </row>
    <row r="2230" spans="7:9">
      <c r="G2230"/>
      <c r="I2230"/>
    </row>
    <row r="2231" spans="7:9">
      <c r="G2231"/>
      <c r="I2231"/>
    </row>
    <row r="2232" spans="7:9">
      <c r="G2232"/>
      <c r="I2232"/>
    </row>
    <row r="2233" spans="7:9">
      <c r="G2233"/>
      <c r="I2233"/>
    </row>
    <row r="2234" spans="7:9">
      <c r="G2234"/>
      <c r="I2234"/>
    </row>
    <row r="2235" spans="7:9">
      <c r="G2235"/>
      <c r="I2235"/>
    </row>
    <row r="2236" spans="7:9">
      <c r="G2236"/>
      <c r="I2236"/>
    </row>
    <row r="2237" spans="7:9">
      <c r="G2237"/>
      <c r="I2237"/>
    </row>
    <row r="2238" spans="7:9">
      <c r="G2238"/>
      <c r="I2238"/>
    </row>
    <row r="2239" spans="7:9">
      <c r="G2239"/>
      <c r="I2239"/>
    </row>
    <row r="2240" spans="7:9">
      <c r="G2240"/>
      <c r="I2240"/>
    </row>
    <row r="2241" spans="7:9">
      <c r="G2241"/>
      <c r="I2241"/>
    </row>
    <row r="2242" spans="7:9">
      <c r="G2242"/>
      <c r="I2242"/>
    </row>
    <row r="2243" spans="7:9">
      <c r="G2243"/>
      <c r="I2243"/>
    </row>
    <row r="2244" spans="7:9">
      <c r="G2244"/>
      <c r="I2244"/>
    </row>
    <row r="2245" spans="7:9">
      <c r="G2245"/>
      <c r="I2245"/>
    </row>
    <row r="2246" spans="7:9">
      <c r="G2246"/>
      <c r="I2246"/>
    </row>
    <row r="2247" spans="7:9">
      <c r="G2247"/>
      <c r="I2247"/>
    </row>
    <row r="2248" spans="7:9">
      <c r="G2248"/>
      <c r="I2248"/>
    </row>
    <row r="2249" spans="7:9">
      <c r="G2249"/>
      <c r="I2249"/>
    </row>
    <row r="2250" spans="7:9">
      <c r="G2250"/>
      <c r="I2250"/>
    </row>
    <row r="2251" spans="7:9">
      <c r="G2251"/>
      <c r="I2251"/>
    </row>
    <row r="2252" spans="7:9">
      <c r="G2252"/>
      <c r="I2252"/>
    </row>
    <row r="2253" spans="7:9">
      <c r="G2253"/>
      <c r="I2253"/>
    </row>
    <row r="2254" spans="7:9">
      <c r="G2254"/>
      <c r="I2254"/>
    </row>
    <row r="2255" spans="7:9">
      <c r="G2255"/>
      <c r="I2255"/>
    </row>
    <row r="2256" spans="7:9">
      <c r="G2256"/>
      <c r="I2256"/>
    </row>
    <row r="2257" spans="7:9">
      <c r="G2257"/>
      <c r="I2257"/>
    </row>
    <row r="2258" spans="7:9">
      <c r="G2258"/>
      <c r="I2258"/>
    </row>
    <row r="2259" spans="7:9">
      <c r="G2259"/>
      <c r="I2259"/>
    </row>
    <row r="2260" spans="7:9">
      <c r="G2260"/>
      <c r="I2260"/>
    </row>
    <row r="2261" spans="7:9">
      <c r="G2261"/>
      <c r="I2261"/>
    </row>
    <row r="2262" spans="7:9">
      <c r="G2262"/>
      <c r="I2262"/>
    </row>
    <row r="2263" spans="7:9">
      <c r="G2263"/>
      <c r="I2263"/>
    </row>
    <row r="2264" spans="7:9">
      <c r="G2264"/>
      <c r="I2264"/>
    </row>
    <row r="2265" spans="7:9">
      <c r="G2265"/>
      <c r="I2265"/>
    </row>
    <row r="2266" spans="7:9">
      <c r="G2266"/>
      <c r="I2266"/>
    </row>
    <row r="2267" spans="7:9">
      <c r="G2267"/>
      <c r="I2267"/>
    </row>
    <row r="2268" spans="7:9">
      <c r="G2268"/>
      <c r="I2268"/>
    </row>
    <row r="2269" spans="7:9">
      <c r="G2269"/>
      <c r="I2269"/>
    </row>
    <row r="2270" spans="7:9">
      <c r="G2270"/>
      <c r="I2270"/>
    </row>
    <row r="2271" spans="7:9">
      <c r="G2271"/>
      <c r="I2271"/>
    </row>
    <row r="2272" spans="7:9">
      <c r="G2272"/>
      <c r="I2272"/>
    </row>
    <row r="2273" spans="7:9">
      <c r="G2273"/>
      <c r="I2273"/>
    </row>
    <row r="2274" spans="7:9">
      <c r="G2274"/>
      <c r="I2274"/>
    </row>
    <row r="2275" spans="7:9">
      <c r="G2275"/>
      <c r="I2275"/>
    </row>
    <row r="2276" spans="7:9">
      <c r="G2276"/>
      <c r="I2276"/>
    </row>
    <row r="2277" spans="7:9">
      <c r="G2277"/>
      <c r="I2277"/>
    </row>
    <row r="2278" spans="7:9">
      <c r="G2278"/>
      <c r="I2278"/>
    </row>
    <row r="2279" spans="7:9">
      <c r="G2279"/>
      <c r="I2279"/>
    </row>
    <row r="2280" spans="7:9">
      <c r="G2280"/>
      <c r="I2280"/>
    </row>
    <row r="2281" spans="7:9">
      <c r="G2281"/>
      <c r="I2281"/>
    </row>
    <row r="2282" spans="7:9">
      <c r="G2282"/>
      <c r="I2282"/>
    </row>
    <row r="2283" spans="7:9">
      <c r="G2283"/>
      <c r="I2283"/>
    </row>
    <row r="2284" spans="7:9">
      <c r="G2284"/>
      <c r="I2284"/>
    </row>
    <row r="2285" spans="7:9">
      <c r="G2285"/>
      <c r="I2285"/>
    </row>
    <row r="2286" spans="7:9">
      <c r="G2286"/>
      <c r="I2286"/>
    </row>
    <row r="2287" spans="7:9">
      <c r="G2287"/>
      <c r="I2287"/>
    </row>
    <row r="2288" spans="7:9">
      <c r="G2288"/>
      <c r="I2288"/>
    </row>
    <row r="2289" spans="7:9">
      <c r="G2289"/>
      <c r="I2289"/>
    </row>
    <row r="2290" spans="7:9">
      <c r="G2290"/>
      <c r="I2290"/>
    </row>
    <row r="2291" spans="7:9">
      <c r="G2291"/>
      <c r="I2291"/>
    </row>
    <row r="2292" spans="7:9">
      <c r="G2292"/>
      <c r="I2292"/>
    </row>
    <row r="2293" spans="7:9">
      <c r="G2293"/>
      <c r="I2293"/>
    </row>
    <row r="2294" spans="7:9">
      <c r="G2294"/>
      <c r="I2294"/>
    </row>
    <row r="2295" spans="7:9">
      <c r="G2295"/>
      <c r="I2295"/>
    </row>
    <row r="2296" spans="7:9">
      <c r="G2296"/>
      <c r="I2296"/>
    </row>
    <row r="2297" spans="7:9">
      <c r="G2297"/>
      <c r="I2297"/>
    </row>
    <row r="2298" spans="7:9">
      <c r="G2298"/>
      <c r="I2298"/>
    </row>
    <row r="2299" spans="7:9">
      <c r="G2299"/>
      <c r="I2299"/>
    </row>
    <row r="2300" spans="7:9">
      <c r="G2300"/>
      <c r="I2300"/>
    </row>
    <row r="2301" spans="7:9">
      <c r="G2301"/>
      <c r="I2301"/>
    </row>
    <row r="2302" spans="7:9">
      <c r="G2302"/>
      <c r="I2302"/>
    </row>
    <row r="2303" spans="7:9">
      <c r="G2303"/>
      <c r="I2303"/>
    </row>
    <row r="2304" spans="7:9">
      <c r="G2304"/>
      <c r="I2304"/>
    </row>
    <row r="2305" spans="7:9">
      <c r="G2305"/>
      <c r="I2305"/>
    </row>
    <row r="2306" spans="7:9">
      <c r="G2306"/>
      <c r="I2306"/>
    </row>
    <row r="2307" spans="7:9">
      <c r="G2307"/>
      <c r="I2307"/>
    </row>
    <row r="2308" spans="7:9">
      <c r="G2308"/>
      <c r="I2308"/>
    </row>
    <row r="2309" spans="7:9">
      <c r="G2309"/>
      <c r="I2309"/>
    </row>
    <row r="2310" spans="7:9">
      <c r="G2310"/>
      <c r="I2310"/>
    </row>
    <row r="2311" spans="7:9">
      <c r="G2311"/>
      <c r="I2311"/>
    </row>
    <row r="2312" spans="7:9">
      <c r="G2312"/>
      <c r="I2312"/>
    </row>
    <row r="2313" spans="7:9">
      <c r="G2313"/>
      <c r="I2313"/>
    </row>
    <row r="2314" spans="7:9">
      <c r="G2314"/>
      <c r="I2314"/>
    </row>
    <row r="2315" spans="7:9">
      <c r="G2315"/>
      <c r="I2315"/>
    </row>
    <row r="2316" spans="7:9">
      <c r="G2316"/>
      <c r="I2316"/>
    </row>
    <row r="2317" spans="7:9">
      <c r="G2317"/>
      <c r="I2317"/>
    </row>
    <row r="2318" spans="7:9">
      <c r="G2318"/>
      <c r="I2318"/>
    </row>
    <row r="2319" spans="7:9">
      <c r="G2319"/>
      <c r="I2319"/>
    </row>
    <row r="2320" spans="7:9">
      <c r="G2320"/>
      <c r="I2320"/>
    </row>
    <row r="2321" spans="7:9">
      <c r="G2321"/>
      <c r="I2321"/>
    </row>
    <row r="2322" spans="7:9">
      <c r="G2322"/>
      <c r="I2322"/>
    </row>
    <row r="2323" spans="7:9">
      <c r="G2323"/>
      <c r="I2323"/>
    </row>
    <row r="2324" spans="7:9">
      <c r="G2324"/>
      <c r="I2324"/>
    </row>
    <row r="2325" spans="7:9">
      <c r="G2325"/>
      <c r="I2325"/>
    </row>
    <row r="2326" spans="7:9">
      <c r="G2326"/>
      <c r="I2326"/>
    </row>
    <row r="2327" spans="7:9">
      <c r="G2327"/>
      <c r="I2327"/>
    </row>
    <row r="2328" spans="7:9">
      <c r="G2328"/>
      <c r="I2328"/>
    </row>
    <row r="2329" spans="7:9">
      <c r="G2329"/>
      <c r="I2329"/>
    </row>
    <row r="2330" spans="7:9">
      <c r="G2330"/>
      <c r="I2330"/>
    </row>
    <row r="2331" spans="7:9">
      <c r="G2331"/>
      <c r="I2331"/>
    </row>
    <row r="2332" spans="7:9">
      <c r="G2332"/>
      <c r="I2332"/>
    </row>
    <row r="2333" spans="7:9">
      <c r="G2333"/>
      <c r="I2333"/>
    </row>
    <row r="2334" spans="7:9">
      <c r="G2334"/>
      <c r="I2334"/>
    </row>
    <row r="2335" spans="7:9">
      <c r="G2335"/>
      <c r="I2335"/>
    </row>
    <row r="2336" spans="7:9">
      <c r="G2336"/>
      <c r="I2336"/>
    </row>
    <row r="2337" spans="7:9">
      <c r="G2337"/>
      <c r="I2337"/>
    </row>
    <row r="2338" spans="7:9">
      <c r="G2338"/>
      <c r="I2338"/>
    </row>
    <row r="2339" spans="7:9">
      <c r="G2339"/>
      <c r="I2339"/>
    </row>
    <row r="2340" spans="7:9">
      <c r="G2340"/>
      <c r="I2340"/>
    </row>
    <row r="2341" spans="7:9">
      <c r="G2341"/>
      <c r="I2341"/>
    </row>
    <row r="2342" spans="7:9">
      <c r="G2342"/>
      <c r="I2342"/>
    </row>
    <row r="2343" spans="7:9">
      <c r="G2343"/>
      <c r="I2343"/>
    </row>
    <row r="2344" spans="7:9">
      <c r="G2344"/>
      <c r="I2344"/>
    </row>
    <row r="2345" spans="7:9">
      <c r="G2345"/>
      <c r="I2345"/>
    </row>
    <row r="2346" spans="7:9">
      <c r="G2346"/>
      <c r="I2346"/>
    </row>
    <row r="2347" spans="7:9">
      <c r="G2347"/>
      <c r="I2347"/>
    </row>
    <row r="2348" spans="7:9">
      <c r="G2348"/>
      <c r="I2348"/>
    </row>
    <row r="2349" spans="7:9">
      <c r="G2349"/>
      <c r="I2349"/>
    </row>
    <row r="2350" spans="7:9">
      <c r="G2350"/>
      <c r="I2350"/>
    </row>
    <row r="2351" spans="7:9">
      <c r="G2351"/>
      <c r="I2351"/>
    </row>
    <row r="2352" spans="7:9">
      <c r="G2352"/>
      <c r="I2352"/>
    </row>
    <row r="2353" spans="7:9">
      <c r="G2353"/>
      <c r="I2353"/>
    </row>
    <row r="2354" spans="7:9">
      <c r="G2354"/>
      <c r="I2354"/>
    </row>
    <row r="2355" spans="7:9">
      <c r="G2355"/>
      <c r="I2355"/>
    </row>
    <row r="2356" spans="7:9">
      <c r="G2356"/>
      <c r="I2356"/>
    </row>
    <row r="2357" spans="7:9">
      <c r="G2357"/>
      <c r="I2357"/>
    </row>
    <row r="2358" spans="7:9">
      <c r="G2358"/>
      <c r="I2358"/>
    </row>
    <row r="2359" spans="7:9">
      <c r="G2359"/>
      <c r="I2359"/>
    </row>
    <row r="2360" spans="7:9">
      <c r="G2360"/>
      <c r="I2360"/>
    </row>
    <row r="2361" spans="7:9">
      <c r="G2361"/>
      <c r="I2361"/>
    </row>
    <row r="2362" spans="7:9">
      <c r="G2362"/>
      <c r="I2362"/>
    </row>
    <row r="2363" spans="7:9">
      <c r="G2363"/>
      <c r="I2363"/>
    </row>
    <row r="2364" spans="7:9">
      <c r="G2364"/>
      <c r="I2364"/>
    </row>
    <row r="2365" spans="7:9">
      <c r="G2365"/>
      <c r="I2365"/>
    </row>
    <row r="2366" spans="7:9">
      <c r="G2366"/>
      <c r="I2366"/>
    </row>
    <row r="2367" spans="7:9">
      <c r="G2367"/>
      <c r="I2367"/>
    </row>
    <row r="2368" spans="7:9">
      <c r="G2368"/>
      <c r="I2368"/>
    </row>
    <row r="2369" spans="7:9">
      <c r="G2369"/>
      <c r="I2369"/>
    </row>
    <row r="2370" spans="7:9">
      <c r="G2370"/>
      <c r="I2370"/>
    </row>
    <row r="2371" spans="7:9">
      <c r="G2371"/>
      <c r="I2371"/>
    </row>
    <row r="2372" spans="7:9">
      <c r="G2372"/>
      <c r="I2372"/>
    </row>
    <row r="2373" spans="7:9">
      <c r="G2373"/>
      <c r="I2373"/>
    </row>
    <row r="2374" spans="7:9">
      <c r="G2374"/>
      <c r="I2374"/>
    </row>
    <row r="2375" spans="7:9">
      <c r="G2375"/>
      <c r="I2375"/>
    </row>
    <row r="2376" spans="7:9">
      <c r="G2376"/>
      <c r="I2376"/>
    </row>
    <row r="2377" spans="7:9">
      <c r="G2377"/>
      <c r="I2377"/>
    </row>
    <row r="2378" spans="7:9">
      <c r="G2378"/>
      <c r="I2378"/>
    </row>
    <row r="2379" spans="7:9">
      <c r="G2379"/>
      <c r="I2379"/>
    </row>
    <row r="2380" spans="7:9">
      <c r="G2380"/>
      <c r="I2380"/>
    </row>
    <row r="2381" spans="7:9">
      <c r="G2381"/>
      <c r="I2381"/>
    </row>
    <row r="2382" spans="7:9">
      <c r="G2382"/>
      <c r="I2382"/>
    </row>
    <row r="2383" spans="7:9">
      <c r="G2383"/>
      <c r="I2383"/>
    </row>
    <row r="2384" spans="7:9">
      <c r="G2384"/>
      <c r="I2384"/>
    </row>
    <row r="2385" spans="7:9">
      <c r="G2385"/>
      <c r="I2385"/>
    </row>
    <row r="2386" spans="7:9">
      <c r="G2386"/>
      <c r="I2386"/>
    </row>
    <row r="2387" spans="7:9">
      <c r="G2387"/>
      <c r="I2387"/>
    </row>
    <row r="2388" spans="7:9">
      <c r="G2388"/>
      <c r="I2388"/>
    </row>
    <row r="2389" spans="7:9">
      <c r="G2389"/>
      <c r="I2389"/>
    </row>
    <row r="2390" spans="7:9">
      <c r="G2390"/>
      <c r="I2390"/>
    </row>
    <row r="2391" spans="7:9">
      <c r="G2391"/>
      <c r="I2391"/>
    </row>
    <row r="2392" spans="7:9">
      <c r="G2392"/>
      <c r="I2392"/>
    </row>
    <row r="2393" spans="7:9">
      <c r="G2393"/>
      <c r="I2393"/>
    </row>
    <row r="2394" spans="7:9">
      <c r="G2394"/>
      <c r="I2394"/>
    </row>
    <row r="2395" spans="7:9">
      <c r="G2395"/>
      <c r="I2395"/>
    </row>
    <row r="2396" spans="7:9">
      <c r="G2396"/>
      <c r="I2396"/>
    </row>
    <row r="2397" spans="7:9">
      <c r="G2397"/>
      <c r="I2397"/>
    </row>
    <row r="2398" spans="7:9">
      <c r="G2398"/>
      <c r="I2398"/>
    </row>
    <row r="2399" spans="7:9">
      <c r="G2399"/>
      <c r="I2399"/>
    </row>
    <row r="2400" spans="7:9">
      <c r="G2400"/>
      <c r="I2400"/>
    </row>
    <row r="2401" spans="7:9">
      <c r="G2401"/>
      <c r="I2401"/>
    </row>
    <row r="2402" spans="7:9">
      <c r="G2402"/>
      <c r="I2402"/>
    </row>
    <row r="2403" spans="7:9">
      <c r="G2403"/>
      <c r="I2403"/>
    </row>
    <row r="2404" spans="7:9">
      <c r="G2404"/>
      <c r="I2404"/>
    </row>
    <row r="2405" spans="7:9">
      <c r="G2405"/>
      <c r="I2405"/>
    </row>
    <row r="2406" spans="7:9">
      <c r="G2406"/>
      <c r="I2406"/>
    </row>
    <row r="2407" spans="7:9">
      <c r="G2407"/>
      <c r="I2407"/>
    </row>
    <row r="2408" spans="7:9">
      <c r="G2408"/>
      <c r="I2408"/>
    </row>
    <row r="2409" spans="7:9">
      <c r="G2409"/>
      <c r="I2409"/>
    </row>
    <row r="2410" spans="7:9">
      <c r="G2410"/>
      <c r="I2410"/>
    </row>
    <row r="2411" spans="7:9">
      <c r="G2411"/>
      <c r="I2411"/>
    </row>
    <row r="2412" spans="7:9">
      <c r="G2412"/>
      <c r="I2412"/>
    </row>
    <row r="2413" spans="7:9">
      <c r="G2413"/>
      <c r="I2413"/>
    </row>
    <row r="2414" spans="7:9">
      <c r="G2414"/>
      <c r="I2414"/>
    </row>
    <row r="2415" spans="7:9">
      <c r="G2415"/>
      <c r="I2415"/>
    </row>
    <row r="2416" spans="7:9">
      <c r="G2416"/>
      <c r="I2416"/>
    </row>
    <row r="2417" spans="7:9">
      <c r="G2417"/>
      <c r="I2417"/>
    </row>
    <row r="2418" spans="7:9">
      <c r="G2418"/>
      <c r="I2418"/>
    </row>
    <row r="2419" spans="7:9">
      <c r="G2419"/>
      <c r="I2419"/>
    </row>
    <row r="2420" spans="7:9">
      <c r="G2420"/>
      <c r="I2420"/>
    </row>
    <row r="2421" spans="7:9">
      <c r="G2421"/>
      <c r="I2421"/>
    </row>
    <row r="2422" spans="7:9">
      <c r="G2422"/>
      <c r="I2422"/>
    </row>
    <row r="2423" spans="7:9">
      <c r="G2423"/>
      <c r="I2423"/>
    </row>
    <row r="2424" spans="7:9">
      <c r="G2424"/>
      <c r="I2424"/>
    </row>
    <row r="2425" spans="7:9">
      <c r="G2425"/>
      <c r="I2425"/>
    </row>
    <row r="2426" spans="7:9">
      <c r="G2426"/>
      <c r="I2426"/>
    </row>
    <row r="2427" spans="7:9">
      <c r="G2427"/>
      <c r="I2427"/>
    </row>
    <row r="2428" spans="7:9">
      <c r="G2428"/>
      <c r="I2428"/>
    </row>
    <row r="2429" spans="7:9">
      <c r="G2429"/>
      <c r="I2429"/>
    </row>
    <row r="2430" spans="7:9">
      <c r="G2430"/>
      <c r="I2430"/>
    </row>
    <row r="2431" spans="7:9">
      <c r="G2431"/>
      <c r="I2431"/>
    </row>
    <row r="2432" spans="7:9">
      <c r="G2432"/>
      <c r="I2432"/>
    </row>
    <row r="2433" spans="7:9">
      <c r="G2433"/>
      <c r="I2433"/>
    </row>
    <row r="2434" spans="7:9">
      <c r="G2434"/>
      <c r="I2434"/>
    </row>
    <row r="2435" spans="7:9">
      <c r="G2435"/>
      <c r="I2435"/>
    </row>
    <row r="2436" spans="7:9">
      <c r="G2436"/>
      <c r="I2436"/>
    </row>
    <row r="2437" spans="7:9">
      <c r="G2437"/>
      <c r="I2437"/>
    </row>
    <row r="2438" spans="7:9">
      <c r="G2438"/>
      <c r="I2438"/>
    </row>
    <row r="2439" spans="7:9">
      <c r="G2439"/>
      <c r="I2439"/>
    </row>
    <row r="2440" spans="7:9">
      <c r="G2440"/>
      <c r="I2440"/>
    </row>
    <row r="2441" spans="7:9">
      <c r="G2441"/>
      <c r="I2441"/>
    </row>
    <row r="2442" spans="7:9">
      <c r="G2442"/>
      <c r="I2442"/>
    </row>
    <row r="2443" spans="7:9">
      <c r="G2443"/>
      <c r="I2443"/>
    </row>
    <row r="2444" spans="7:9">
      <c r="G2444"/>
      <c r="I2444"/>
    </row>
    <row r="2445" spans="7:9">
      <c r="G2445"/>
      <c r="I2445"/>
    </row>
    <row r="2446" spans="7:9">
      <c r="G2446"/>
      <c r="I2446"/>
    </row>
    <row r="2447" spans="7:9">
      <c r="G2447"/>
      <c r="I2447"/>
    </row>
    <row r="2448" spans="7:9">
      <c r="G2448"/>
      <c r="I2448"/>
    </row>
    <row r="2449" spans="7:9">
      <c r="G2449"/>
      <c r="I2449"/>
    </row>
    <row r="2450" spans="7:9">
      <c r="G2450"/>
      <c r="I2450"/>
    </row>
    <row r="2451" spans="7:9">
      <c r="G2451"/>
      <c r="I2451"/>
    </row>
    <row r="2452" spans="7:9">
      <c r="G2452"/>
      <c r="I2452"/>
    </row>
    <row r="2453" spans="7:9">
      <c r="G2453"/>
      <c r="I2453"/>
    </row>
    <row r="2454" spans="7:9">
      <c r="G2454"/>
      <c r="I2454"/>
    </row>
    <row r="2455" spans="7:9">
      <c r="G2455"/>
      <c r="I2455"/>
    </row>
    <row r="2456" spans="7:9">
      <c r="G2456"/>
      <c r="I2456"/>
    </row>
    <row r="2457" spans="7:9">
      <c r="G2457"/>
      <c r="I2457"/>
    </row>
    <row r="2458" spans="7:9">
      <c r="G2458"/>
      <c r="I2458"/>
    </row>
    <row r="2459" spans="7:9">
      <c r="G2459"/>
      <c r="I2459"/>
    </row>
    <row r="2460" spans="7:9">
      <c r="G2460"/>
      <c r="I2460"/>
    </row>
    <row r="2461" spans="7:9">
      <c r="G2461"/>
      <c r="I2461"/>
    </row>
    <row r="2462" spans="7:9">
      <c r="G2462"/>
      <c r="I2462"/>
    </row>
    <row r="2463" spans="7:9">
      <c r="G2463"/>
      <c r="I2463"/>
    </row>
    <row r="2464" spans="7:9">
      <c r="G2464"/>
      <c r="I2464"/>
    </row>
    <row r="2465" spans="7:9">
      <c r="G2465"/>
      <c r="I2465"/>
    </row>
    <row r="2466" spans="7:9">
      <c r="G2466"/>
      <c r="I2466"/>
    </row>
    <row r="2467" spans="7:9">
      <c r="G2467"/>
      <c r="I2467"/>
    </row>
    <row r="2468" spans="7:9">
      <c r="G2468"/>
      <c r="I2468"/>
    </row>
    <row r="2469" spans="7:9">
      <c r="G2469"/>
      <c r="I2469"/>
    </row>
    <row r="2470" spans="7:9">
      <c r="G2470"/>
      <c r="I2470"/>
    </row>
    <row r="2471" spans="7:9">
      <c r="G2471"/>
      <c r="I2471"/>
    </row>
    <row r="2472" spans="7:9">
      <c r="G2472"/>
      <c r="I2472"/>
    </row>
    <row r="2473" spans="7:9">
      <c r="G2473"/>
      <c r="I2473"/>
    </row>
    <row r="2474" spans="7:9">
      <c r="G2474"/>
      <c r="I2474"/>
    </row>
    <row r="2475" spans="7:9">
      <c r="G2475"/>
      <c r="I2475"/>
    </row>
    <row r="2476" spans="7:9">
      <c r="G2476"/>
      <c r="I2476"/>
    </row>
    <row r="2477" spans="7:9">
      <c r="G2477"/>
      <c r="I2477"/>
    </row>
    <row r="2478" spans="7:9">
      <c r="G2478"/>
      <c r="I2478"/>
    </row>
    <row r="2479" spans="7:9">
      <c r="G2479"/>
      <c r="I2479"/>
    </row>
    <row r="2480" spans="7:9">
      <c r="G2480"/>
      <c r="I2480"/>
    </row>
    <row r="2481" spans="7:9">
      <c r="G2481"/>
      <c r="I2481"/>
    </row>
    <row r="2482" spans="7:9">
      <c r="G2482"/>
      <c r="I2482"/>
    </row>
    <row r="2483" spans="7:9">
      <c r="G2483"/>
      <c r="I2483"/>
    </row>
    <row r="2484" spans="7:9">
      <c r="G2484"/>
      <c r="I2484"/>
    </row>
    <row r="2485" spans="7:9">
      <c r="G2485"/>
      <c r="I2485"/>
    </row>
    <row r="2486" spans="7:9">
      <c r="G2486"/>
      <c r="I2486"/>
    </row>
    <row r="2487" spans="7:9">
      <c r="G2487"/>
      <c r="I2487"/>
    </row>
    <row r="2488" spans="7:9">
      <c r="G2488"/>
      <c r="I2488"/>
    </row>
    <row r="2489" spans="7:9">
      <c r="G2489"/>
      <c r="I2489"/>
    </row>
    <row r="2490" spans="7:9">
      <c r="G2490"/>
      <c r="I2490"/>
    </row>
    <row r="2491" spans="7:9">
      <c r="G2491"/>
      <c r="I2491"/>
    </row>
    <row r="2492" spans="7:9">
      <c r="G2492"/>
      <c r="I2492"/>
    </row>
    <row r="2493" spans="7:9">
      <c r="G2493"/>
      <c r="I2493"/>
    </row>
    <row r="2494" spans="7:9">
      <c r="G2494"/>
      <c r="I2494"/>
    </row>
    <row r="2495" spans="7:9">
      <c r="G2495"/>
      <c r="I2495"/>
    </row>
    <row r="2496" spans="7:9">
      <c r="G2496"/>
      <c r="I2496"/>
    </row>
    <row r="2497" spans="7:9">
      <c r="G2497"/>
      <c r="I2497"/>
    </row>
    <row r="2498" spans="7:9">
      <c r="G2498"/>
      <c r="I2498"/>
    </row>
    <row r="2499" spans="7:9">
      <c r="G2499"/>
      <c r="I2499"/>
    </row>
    <row r="2500" spans="7:9">
      <c r="G2500"/>
      <c r="I2500"/>
    </row>
    <row r="2501" spans="7:9">
      <c r="G2501"/>
      <c r="I2501"/>
    </row>
    <row r="2502" spans="7:9">
      <c r="G2502"/>
      <c r="I2502"/>
    </row>
    <row r="2503" spans="7:9">
      <c r="G2503"/>
      <c r="I2503"/>
    </row>
    <row r="2504" spans="7:9">
      <c r="G2504"/>
      <c r="I2504"/>
    </row>
    <row r="2505" spans="7:9">
      <c r="G2505"/>
      <c r="I2505"/>
    </row>
    <row r="2506" spans="7:9">
      <c r="G2506"/>
      <c r="I2506"/>
    </row>
    <row r="2507" spans="7:9">
      <c r="G2507"/>
      <c r="I2507"/>
    </row>
    <row r="2508" spans="7:9">
      <c r="G2508"/>
      <c r="I2508"/>
    </row>
    <row r="2509" spans="7:9">
      <c r="G2509"/>
      <c r="I2509"/>
    </row>
    <row r="2510" spans="7:9">
      <c r="G2510"/>
      <c r="I2510"/>
    </row>
    <row r="2511" spans="7:9">
      <c r="G2511"/>
      <c r="I2511"/>
    </row>
    <row r="2512" spans="7:9">
      <c r="G2512"/>
      <c r="I2512"/>
    </row>
    <row r="2513" spans="7:9">
      <c r="G2513"/>
      <c r="I2513"/>
    </row>
    <row r="2514" spans="7:9">
      <c r="G2514"/>
      <c r="I2514"/>
    </row>
    <row r="2515" spans="7:9">
      <c r="G2515"/>
      <c r="I2515"/>
    </row>
    <row r="2516" spans="7:9">
      <c r="G2516"/>
      <c r="I2516"/>
    </row>
    <row r="2517" spans="7:9">
      <c r="G2517"/>
      <c r="I2517"/>
    </row>
    <row r="2518" spans="7:9">
      <c r="G2518"/>
      <c r="I2518"/>
    </row>
    <row r="2519" spans="7:9">
      <c r="G2519"/>
      <c r="I2519"/>
    </row>
    <row r="2520" spans="7:9">
      <c r="G2520"/>
      <c r="I2520"/>
    </row>
    <row r="2521" spans="7:9">
      <c r="G2521"/>
      <c r="I2521"/>
    </row>
    <row r="2522" spans="7:9">
      <c r="G2522"/>
      <c r="I2522"/>
    </row>
    <row r="2523" spans="7:9">
      <c r="G2523"/>
      <c r="I2523"/>
    </row>
    <row r="2524" spans="7:9">
      <c r="G2524"/>
      <c r="I2524"/>
    </row>
    <row r="2525" spans="7:9">
      <c r="G2525"/>
      <c r="I2525"/>
    </row>
    <row r="2526" spans="7:9">
      <c r="G2526"/>
      <c r="I2526"/>
    </row>
    <row r="2527" spans="7:9">
      <c r="G2527"/>
      <c r="I2527"/>
    </row>
    <row r="2528" spans="7:9">
      <c r="G2528"/>
      <c r="I2528"/>
    </row>
    <row r="2529" spans="7:9">
      <c r="G2529"/>
      <c r="I2529"/>
    </row>
    <row r="2530" spans="7:9">
      <c r="G2530"/>
      <c r="I2530"/>
    </row>
    <row r="2531" spans="7:9">
      <c r="G2531"/>
      <c r="I2531"/>
    </row>
    <row r="2532" spans="7:9">
      <c r="G2532"/>
      <c r="I2532"/>
    </row>
    <row r="2533" spans="7:9">
      <c r="G2533"/>
      <c r="I2533"/>
    </row>
    <row r="2534" spans="7:9">
      <c r="G2534"/>
      <c r="I2534"/>
    </row>
    <row r="2535" spans="7:9">
      <c r="G2535"/>
      <c r="I2535"/>
    </row>
    <row r="2536" spans="7:9">
      <c r="G2536"/>
      <c r="I2536"/>
    </row>
    <row r="2537" spans="7:9">
      <c r="G2537"/>
      <c r="I2537"/>
    </row>
    <row r="2538" spans="7:9">
      <c r="G2538"/>
      <c r="I2538"/>
    </row>
    <row r="2539" spans="7:9">
      <c r="G2539"/>
      <c r="I2539"/>
    </row>
    <row r="2540" spans="7:9">
      <c r="G2540"/>
      <c r="I2540"/>
    </row>
    <row r="2541" spans="7:9">
      <c r="G2541"/>
      <c r="I2541"/>
    </row>
    <row r="2542" spans="7:9">
      <c r="G2542"/>
      <c r="I2542"/>
    </row>
    <row r="2543" spans="7:9">
      <c r="G2543"/>
      <c r="I2543"/>
    </row>
    <row r="2544" spans="7:9">
      <c r="G2544"/>
      <c r="I2544"/>
    </row>
    <row r="2545" spans="7:9">
      <c r="G2545"/>
      <c r="I2545"/>
    </row>
    <row r="2546" spans="7:9">
      <c r="G2546"/>
      <c r="I2546"/>
    </row>
    <row r="2547" spans="7:9">
      <c r="G2547"/>
      <c r="I2547"/>
    </row>
    <row r="2548" spans="7:9">
      <c r="G2548"/>
      <c r="I2548"/>
    </row>
    <row r="2549" spans="7:9">
      <c r="G2549"/>
      <c r="I2549"/>
    </row>
    <row r="2550" spans="7:9">
      <c r="G2550"/>
      <c r="I2550"/>
    </row>
    <row r="2551" spans="7:9">
      <c r="G2551"/>
      <c r="I2551"/>
    </row>
    <row r="2552" spans="7:9">
      <c r="G2552"/>
      <c r="I2552"/>
    </row>
    <row r="2553" spans="7:9">
      <c r="G2553"/>
      <c r="I2553"/>
    </row>
    <row r="2554" spans="7:9">
      <c r="G2554"/>
      <c r="I2554"/>
    </row>
    <row r="2555" spans="7:9">
      <c r="G2555"/>
      <c r="I2555"/>
    </row>
    <row r="2556" spans="7:9">
      <c r="G2556"/>
      <c r="I2556"/>
    </row>
    <row r="2557" spans="7:9">
      <c r="G2557"/>
      <c r="I2557"/>
    </row>
    <row r="2558" spans="7:9">
      <c r="G2558"/>
      <c r="I2558"/>
    </row>
    <row r="2559" spans="7:9">
      <c r="G2559"/>
      <c r="I2559"/>
    </row>
    <row r="2560" spans="7:9">
      <c r="G2560"/>
      <c r="I2560"/>
    </row>
    <row r="2561" spans="7:9">
      <c r="G2561"/>
      <c r="I2561"/>
    </row>
    <row r="2562" spans="7:9">
      <c r="G2562"/>
      <c r="I2562"/>
    </row>
    <row r="2563" spans="7:9">
      <c r="G2563"/>
      <c r="I2563"/>
    </row>
    <row r="2564" spans="7:9">
      <c r="G2564"/>
      <c r="I2564"/>
    </row>
    <row r="2565" spans="7:9">
      <c r="G2565"/>
      <c r="I2565"/>
    </row>
    <row r="2566" spans="7:9">
      <c r="G2566"/>
      <c r="I2566"/>
    </row>
    <row r="2567" spans="7:9">
      <c r="G2567"/>
      <c r="I2567"/>
    </row>
    <row r="2568" spans="7:9">
      <c r="G2568"/>
      <c r="I2568"/>
    </row>
    <row r="2569" spans="7:9">
      <c r="G2569"/>
      <c r="I2569"/>
    </row>
    <row r="2570" spans="7:9">
      <c r="G2570"/>
      <c r="I2570"/>
    </row>
    <row r="2571" spans="7:9">
      <c r="G2571"/>
      <c r="I2571"/>
    </row>
    <row r="2572" spans="7:9">
      <c r="G2572"/>
      <c r="I2572"/>
    </row>
    <row r="2573" spans="7:9">
      <c r="G2573"/>
      <c r="I2573"/>
    </row>
    <row r="2574" spans="7:9">
      <c r="G2574"/>
      <c r="I2574"/>
    </row>
    <row r="2575" spans="7:9">
      <c r="G2575"/>
      <c r="I2575"/>
    </row>
    <row r="2576" spans="7:9">
      <c r="G2576"/>
      <c r="I2576"/>
    </row>
    <row r="2577" spans="7:9">
      <c r="G2577"/>
      <c r="I2577"/>
    </row>
    <row r="2578" spans="7:9">
      <c r="G2578"/>
      <c r="I2578"/>
    </row>
    <row r="2579" spans="7:9">
      <c r="G2579"/>
      <c r="I2579"/>
    </row>
    <row r="2580" spans="7:9">
      <c r="G2580"/>
      <c r="I2580"/>
    </row>
    <row r="2581" spans="7:9">
      <c r="G2581"/>
      <c r="I2581"/>
    </row>
    <row r="2582" spans="7:9">
      <c r="G2582"/>
      <c r="I2582"/>
    </row>
    <row r="2583" spans="7:9">
      <c r="G2583"/>
      <c r="I2583"/>
    </row>
    <row r="2584" spans="7:9">
      <c r="G2584"/>
      <c r="I2584"/>
    </row>
    <row r="2585" spans="7:9">
      <c r="G2585"/>
      <c r="I2585"/>
    </row>
    <row r="2586" spans="7:9">
      <c r="G2586"/>
      <c r="I2586"/>
    </row>
    <row r="2587" spans="7:9">
      <c r="G2587"/>
      <c r="I2587"/>
    </row>
    <row r="2588" spans="7:9">
      <c r="G2588"/>
      <c r="I2588"/>
    </row>
    <row r="2589" spans="7:9">
      <c r="G2589"/>
      <c r="I2589"/>
    </row>
    <row r="2590" spans="7:9">
      <c r="G2590"/>
      <c r="I2590"/>
    </row>
    <row r="2591" spans="7:9">
      <c r="G2591"/>
      <c r="I2591"/>
    </row>
    <row r="2592" spans="7:9">
      <c r="G2592"/>
      <c r="I2592"/>
    </row>
    <row r="2593" spans="7:9">
      <c r="G2593"/>
      <c r="I2593"/>
    </row>
    <row r="2594" spans="7:9">
      <c r="G2594"/>
      <c r="I2594"/>
    </row>
    <row r="2595" spans="7:9">
      <c r="G2595"/>
      <c r="I2595"/>
    </row>
    <row r="2596" spans="7:9">
      <c r="G2596"/>
      <c r="I2596"/>
    </row>
    <row r="2597" spans="7:9">
      <c r="G2597"/>
      <c r="I2597"/>
    </row>
    <row r="2598" spans="7:9">
      <c r="G2598"/>
      <c r="I2598"/>
    </row>
    <row r="2599" spans="7:9">
      <c r="G2599"/>
      <c r="I2599"/>
    </row>
    <row r="2600" spans="7:9">
      <c r="G2600"/>
      <c r="I2600"/>
    </row>
    <row r="2601" spans="7:9">
      <c r="G2601"/>
      <c r="I2601"/>
    </row>
    <row r="2602" spans="7:9">
      <c r="G2602"/>
      <c r="I2602"/>
    </row>
    <row r="2603" spans="7:9">
      <c r="G2603"/>
      <c r="I2603"/>
    </row>
    <row r="2604" spans="7:9">
      <c r="G2604"/>
      <c r="I2604"/>
    </row>
    <row r="2605" spans="7:9">
      <c r="G2605"/>
      <c r="I2605"/>
    </row>
    <row r="2606" spans="7:9">
      <c r="G2606"/>
      <c r="I2606"/>
    </row>
    <row r="2607" spans="7:9">
      <c r="G2607"/>
      <c r="I2607"/>
    </row>
    <row r="2608" spans="7:9">
      <c r="G2608"/>
      <c r="I2608"/>
    </row>
    <row r="2609" spans="7:9">
      <c r="G2609"/>
      <c r="I2609"/>
    </row>
    <row r="2610" spans="7:9">
      <c r="G2610"/>
      <c r="I2610"/>
    </row>
    <row r="2611" spans="7:9">
      <c r="G2611"/>
      <c r="I2611"/>
    </row>
    <row r="2612" spans="7:9">
      <c r="G2612"/>
      <c r="I2612"/>
    </row>
    <row r="2613" spans="7:9">
      <c r="G2613"/>
      <c r="I2613"/>
    </row>
    <row r="2614" spans="7:9">
      <c r="G2614"/>
      <c r="I2614"/>
    </row>
    <row r="2615" spans="7:9">
      <c r="G2615"/>
      <c r="I2615"/>
    </row>
    <row r="2616" spans="7:9">
      <c r="G2616"/>
      <c r="I2616"/>
    </row>
    <row r="2617" spans="7:9">
      <c r="G2617"/>
      <c r="I2617"/>
    </row>
    <row r="2618" spans="7:9">
      <c r="G2618"/>
      <c r="I2618"/>
    </row>
    <row r="2619" spans="7:9">
      <c r="G2619"/>
      <c r="I2619"/>
    </row>
    <row r="2620" spans="7:9">
      <c r="G2620"/>
      <c r="I2620"/>
    </row>
    <row r="2621" spans="7:9">
      <c r="G2621"/>
      <c r="I2621"/>
    </row>
    <row r="2622" spans="7:9">
      <c r="G2622"/>
      <c r="I2622"/>
    </row>
    <row r="2623" spans="7:9">
      <c r="G2623"/>
      <c r="I2623"/>
    </row>
    <row r="2624" spans="7:9">
      <c r="G2624"/>
      <c r="I2624"/>
    </row>
    <row r="2625" spans="7:9">
      <c r="G2625"/>
      <c r="I2625"/>
    </row>
    <row r="2626" spans="7:9">
      <c r="G2626"/>
      <c r="I2626"/>
    </row>
    <row r="2627" spans="7:9">
      <c r="G2627"/>
      <c r="I2627"/>
    </row>
    <row r="2628" spans="7:9">
      <c r="G2628"/>
      <c r="I2628"/>
    </row>
    <row r="2629" spans="7:9">
      <c r="G2629"/>
      <c r="I2629"/>
    </row>
    <row r="2630" spans="7:9">
      <c r="G2630"/>
      <c r="I2630"/>
    </row>
    <row r="2631" spans="7:9">
      <c r="G2631"/>
      <c r="I2631"/>
    </row>
    <row r="2632" spans="7:9">
      <c r="G2632"/>
      <c r="I2632"/>
    </row>
    <row r="2633" spans="7:9">
      <c r="G2633"/>
      <c r="I2633"/>
    </row>
    <row r="2634" spans="7:9">
      <c r="G2634"/>
      <c r="I2634"/>
    </row>
    <row r="2635" spans="7:9">
      <c r="G2635"/>
      <c r="I2635"/>
    </row>
    <row r="2636" spans="7:9">
      <c r="G2636"/>
      <c r="I2636"/>
    </row>
    <row r="2637" spans="7:9">
      <c r="G2637"/>
      <c r="I2637"/>
    </row>
    <row r="2638" spans="7:9">
      <c r="G2638"/>
      <c r="I2638"/>
    </row>
    <row r="2639" spans="7:9">
      <c r="G2639"/>
      <c r="I2639"/>
    </row>
    <row r="2640" spans="7:9">
      <c r="G2640"/>
      <c r="I2640"/>
    </row>
    <row r="2641" spans="7:9">
      <c r="G2641"/>
      <c r="I2641"/>
    </row>
    <row r="2642" spans="7:9">
      <c r="G2642"/>
      <c r="I2642"/>
    </row>
    <row r="2643" spans="7:9">
      <c r="G2643"/>
      <c r="I2643"/>
    </row>
    <row r="2644" spans="7:9">
      <c r="G2644"/>
      <c r="I2644"/>
    </row>
    <row r="2645" spans="7:9">
      <c r="G2645"/>
      <c r="I2645"/>
    </row>
    <row r="2646" spans="7:9">
      <c r="G2646"/>
      <c r="I2646"/>
    </row>
    <row r="2647" spans="7:9">
      <c r="G2647"/>
      <c r="I2647"/>
    </row>
    <row r="2648" spans="7:9">
      <c r="G2648"/>
      <c r="I2648"/>
    </row>
    <row r="2649" spans="7:9">
      <c r="G2649"/>
      <c r="I2649"/>
    </row>
    <row r="2650" spans="7:9">
      <c r="G2650"/>
      <c r="I2650"/>
    </row>
    <row r="2651" spans="7:9">
      <c r="G2651"/>
      <c r="I2651"/>
    </row>
    <row r="2652" spans="7:9">
      <c r="G2652"/>
      <c r="I2652"/>
    </row>
    <row r="2653" spans="7:9">
      <c r="G2653"/>
      <c r="I2653"/>
    </row>
    <row r="2654" spans="7:9">
      <c r="G2654"/>
      <c r="I2654"/>
    </row>
    <row r="2655" spans="7:9">
      <c r="G2655"/>
      <c r="I2655"/>
    </row>
    <row r="2656" spans="7:9">
      <c r="G2656"/>
      <c r="I2656"/>
    </row>
    <row r="2657" spans="7:9">
      <c r="G2657"/>
      <c r="I2657"/>
    </row>
    <row r="2658" spans="7:9">
      <c r="G2658"/>
      <c r="I2658"/>
    </row>
    <row r="2659" spans="7:9">
      <c r="G2659"/>
      <c r="I2659"/>
    </row>
    <row r="2660" spans="7:9">
      <c r="G2660"/>
      <c r="I2660"/>
    </row>
    <row r="2661" spans="7:9">
      <c r="G2661"/>
      <c r="I2661"/>
    </row>
    <row r="2662" spans="7:9">
      <c r="G2662"/>
      <c r="I2662"/>
    </row>
    <row r="2663" spans="7:9">
      <c r="G2663"/>
      <c r="I2663"/>
    </row>
    <row r="2664" spans="7:9">
      <c r="G2664"/>
      <c r="I2664"/>
    </row>
    <row r="2665" spans="7:9">
      <c r="G2665"/>
      <c r="I2665"/>
    </row>
    <row r="2666" spans="7:9">
      <c r="G2666"/>
      <c r="I2666"/>
    </row>
    <row r="2667" spans="7:9">
      <c r="G2667"/>
      <c r="I2667"/>
    </row>
    <row r="2668" spans="7:9">
      <c r="G2668"/>
      <c r="I2668"/>
    </row>
    <row r="2669" spans="7:9">
      <c r="G2669"/>
      <c r="I2669"/>
    </row>
    <row r="2670" spans="7:9">
      <c r="G2670"/>
      <c r="I2670"/>
    </row>
    <row r="2671" spans="7:9">
      <c r="G2671"/>
      <c r="I2671"/>
    </row>
    <row r="2672" spans="7:9">
      <c r="G2672"/>
      <c r="I2672"/>
    </row>
    <row r="2673" spans="7:9">
      <c r="G2673"/>
      <c r="I2673"/>
    </row>
    <row r="2674" spans="7:9">
      <c r="G2674"/>
      <c r="I2674"/>
    </row>
    <row r="2675" spans="7:9">
      <c r="G2675"/>
      <c r="I2675"/>
    </row>
    <row r="2676" spans="7:9">
      <c r="G2676"/>
      <c r="I2676"/>
    </row>
    <row r="2677" spans="7:9">
      <c r="G2677"/>
      <c r="I2677"/>
    </row>
    <row r="2678" spans="7:9">
      <c r="G2678"/>
      <c r="I2678"/>
    </row>
    <row r="2679" spans="7:9">
      <c r="G2679"/>
      <c r="I2679"/>
    </row>
    <row r="2680" spans="7:9">
      <c r="G2680"/>
      <c r="I2680"/>
    </row>
    <row r="2681" spans="7:9">
      <c r="G2681"/>
      <c r="I2681"/>
    </row>
    <row r="2682" spans="7:9">
      <c r="G2682"/>
      <c r="I2682"/>
    </row>
    <row r="2683" spans="7:9">
      <c r="G2683"/>
      <c r="I2683"/>
    </row>
    <row r="2684" spans="7:9">
      <c r="G2684"/>
      <c r="I2684"/>
    </row>
    <row r="2685" spans="7:9">
      <c r="G2685"/>
      <c r="I2685"/>
    </row>
    <row r="2686" spans="7:9">
      <c r="G2686"/>
      <c r="I2686"/>
    </row>
    <row r="2687" spans="7:9">
      <c r="G2687"/>
      <c r="I2687"/>
    </row>
    <row r="2688" spans="7:9">
      <c r="G2688"/>
      <c r="I2688"/>
    </row>
    <row r="2689" spans="7:9">
      <c r="G2689"/>
      <c r="I2689"/>
    </row>
    <row r="2690" spans="7:9">
      <c r="G2690"/>
      <c r="I2690"/>
    </row>
    <row r="2691" spans="7:9">
      <c r="G2691"/>
      <c r="I2691"/>
    </row>
    <row r="2692" spans="7:9">
      <c r="G2692"/>
      <c r="I2692"/>
    </row>
    <row r="2693" spans="7:9">
      <c r="G2693"/>
      <c r="I2693"/>
    </row>
    <row r="2694" spans="7:9">
      <c r="G2694"/>
      <c r="I2694"/>
    </row>
    <row r="2695" spans="7:9">
      <c r="G2695"/>
      <c r="I2695"/>
    </row>
    <row r="2696" spans="7:9">
      <c r="G2696"/>
      <c r="I2696"/>
    </row>
    <row r="2697" spans="7:9">
      <c r="G2697"/>
      <c r="I2697"/>
    </row>
    <row r="2698" spans="7:9">
      <c r="G2698"/>
      <c r="I2698"/>
    </row>
    <row r="2699" spans="7:9">
      <c r="G2699"/>
      <c r="I2699"/>
    </row>
    <row r="2700" spans="7:9">
      <c r="G2700"/>
      <c r="I2700"/>
    </row>
    <row r="2701" spans="7:9">
      <c r="G2701"/>
      <c r="I2701"/>
    </row>
    <row r="2702" spans="7:9">
      <c r="G2702"/>
      <c r="I2702"/>
    </row>
    <row r="2703" spans="7:9">
      <c r="G2703"/>
      <c r="I2703"/>
    </row>
    <row r="2704" spans="7:9">
      <c r="G2704"/>
      <c r="I2704"/>
    </row>
    <row r="2705" spans="7:9">
      <c r="G2705"/>
      <c r="I2705"/>
    </row>
    <row r="2706" spans="7:9">
      <c r="G2706"/>
      <c r="I2706"/>
    </row>
    <row r="2707" spans="7:9">
      <c r="G2707"/>
      <c r="I2707"/>
    </row>
    <row r="2708" spans="7:9">
      <c r="G2708"/>
      <c r="I2708"/>
    </row>
    <row r="2709" spans="7:9">
      <c r="G2709"/>
      <c r="I2709"/>
    </row>
    <row r="2710" spans="7:9">
      <c r="G2710"/>
      <c r="I2710"/>
    </row>
    <row r="2711" spans="7:9">
      <c r="G2711"/>
      <c r="I2711"/>
    </row>
    <row r="2712" spans="7:9">
      <c r="G2712"/>
      <c r="I2712"/>
    </row>
    <row r="2713" spans="7:9">
      <c r="G2713"/>
      <c r="I2713"/>
    </row>
    <row r="2714" spans="7:9">
      <c r="G2714"/>
      <c r="I2714"/>
    </row>
    <row r="2715" spans="7:9">
      <c r="G2715"/>
      <c r="I2715"/>
    </row>
    <row r="2716" spans="7:9">
      <c r="G2716"/>
      <c r="I2716"/>
    </row>
    <row r="2717" spans="7:9">
      <c r="G2717"/>
      <c r="I2717"/>
    </row>
    <row r="2718" spans="7:9">
      <c r="G2718"/>
      <c r="I2718"/>
    </row>
    <row r="2719" spans="7:9">
      <c r="G2719"/>
      <c r="I2719"/>
    </row>
    <row r="2720" spans="7:9">
      <c r="G2720"/>
      <c r="I2720"/>
    </row>
    <row r="2721" spans="7:9">
      <c r="G2721"/>
      <c r="I2721"/>
    </row>
    <row r="2722" spans="7:9">
      <c r="G2722"/>
      <c r="I2722"/>
    </row>
    <row r="2723" spans="7:9">
      <c r="G2723"/>
      <c r="I2723"/>
    </row>
    <row r="2724" spans="7:9">
      <c r="G2724"/>
      <c r="I2724"/>
    </row>
    <row r="2725" spans="7:9">
      <c r="G2725"/>
      <c r="I2725"/>
    </row>
    <row r="2726" spans="7:9">
      <c r="G2726"/>
      <c r="I2726"/>
    </row>
    <row r="2727" spans="7:9">
      <c r="G2727"/>
      <c r="I2727"/>
    </row>
    <row r="2728" spans="7:9">
      <c r="G2728"/>
      <c r="I2728"/>
    </row>
    <row r="2729" spans="7:9">
      <c r="G2729"/>
      <c r="I2729"/>
    </row>
    <row r="2730" spans="7:9">
      <c r="G2730"/>
      <c r="I2730"/>
    </row>
    <row r="2731" spans="7:9">
      <c r="G2731"/>
      <c r="I2731"/>
    </row>
    <row r="2732" spans="7:9">
      <c r="G2732"/>
      <c r="I2732"/>
    </row>
    <row r="2733" spans="7:9">
      <c r="G2733"/>
      <c r="I2733"/>
    </row>
    <row r="2734" spans="7:9">
      <c r="G2734"/>
      <c r="I2734"/>
    </row>
    <row r="2735" spans="7:9">
      <c r="G2735"/>
      <c r="I2735"/>
    </row>
    <row r="2736" spans="7:9">
      <c r="G2736"/>
      <c r="I2736"/>
    </row>
    <row r="2737" spans="7:9">
      <c r="G2737"/>
      <c r="I2737"/>
    </row>
    <row r="2738" spans="7:9">
      <c r="G2738"/>
      <c r="I2738"/>
    </row>
    <row r="2739" spans="7:9">
      <c r="G2739"/>
      <c r="I2739"/>
    </row>
    <row r="2740" spans="7:9">
      <c r="G2740"/>
      <c r="I2740"/>
    </row>
    <row r="2741" spans="7:9">
      <c r="G2741"/>
      <c r="I2741"/>
    </row>
    <row r="2742" spans="7:9">
      <c r="G2742"/>
      <c r="I2742"/>
    </row>
    <row r="2743" spans="7:9">
      <c r="G2743"/>
      <c r="I2743"/>
    </row>
    <row r="2744" spans="7:9">
      <c r="G2744"/>
      <c r="I2744"/>
    </row>
    <row r="2745" spans="7:9">
      <c r="G2745"/>
      <c r="I2745"/>
    </row>
    <row r="2746" spans="7:9">
      <c r="G2746"/>
      <c r="I2746"/>
    </row>
    <row r="2747" spans="7:9">
      <c r="G2747"/>
      <c r="I2747"/>
    </row>
    <row r="2748" spans="7:9">
      <c r="G2748"/>
      <c r="I2748"/>
    </row>
    <row r="2749" spans="7:9">
      <c r="G2749"/>
      <c r="I2749"/>
    </row>
    <row r="2750" spans="7:9">
      <c r="G2750"/>
      <c r="I2750"/>
    </row>
    <row r="2751" spans="7:9">
      <c r="G2751"/>
      <c r="I2751"/>
    </row>
    <row r="2752" spans="7:9">
      <c r="G2752"/>
      <c r="I2752"/>
    </row>
  </sheetData>
  <mergeCells count="180">
    <mergeCell ref="A18:H18"/>
    <mergeCell ref="B24:G24"/>
    <mergeCell ref="E1299:G1299"/>
    <mergeCell ref="H1211:I1211"/>
    <mergeCell ref="H1212:I1212"/>
    <mergeCell ref="A1190:I1196"/>
    <mergeCell ref="B1202:G1202"/>
    <mergeCell ref="H1202:I1202"/>
    <mergeCell ref="H1203:I1203"/>
    <mergeCell ref="H1204:I1204"/>
    <mergeCell ref="H1205:I1205"/>
    <mergeCell ref="H1206:I1206"/>
    <mergeCell ref="A2:I2"/>
    <mergeCell ref="E700:F700"/>
    <mergeCell ref="E701:F701"/>
    <mergeCell ref="E150:F150"/>
    <mergeCell ref="E145:F145"/>
    <mergeCell ref="E143:F143"/>
    <mergeCell ref="A192:I195"/>
    <mergeCell ref="A638:I638"/>
    <mergeCell ref="A641:I642"/>
    <mergeCell ref="A570:I570"/>
    <mergeCell ref="A1286:I1286"/>
    <mergeCell ref="E959:F959"/>
    <mergeCell ref="A1240:C1240"/>
    <mergeCell ref="H1209:I1209"/>
    <mergeCell ref="H1210:I1210"/>
    <mergeCell ref="A1236:I1236"/>
    <mergeCell ref="A1248:D1248"/>
    <mergeCell ref="A1256:C1256"/>
    <mergeCell ref="H1207:I1207"/>
    <mergeCell ref="H1208:I1208"/>
    <mergeCell ref="D773:E773"/>
    <mergeCell ref="C1068:D1068"/>
    <mergeCell ref="C1070:D1070"/>
    <mergeCell ref="F1272:G1272"/>
    <mergeCell ref="A1086:I1086"/>
    <mergeCell ref="A1136:I1136"/>
    <mergeCell ref="A1264:C1264"/>
    <mergeCell ref="A1238:I1238"/>
    <mergeCell ref="A752:I755"/>
    <mergeCell ref="B773:C773"/>
    <mergeCell ref="A1214:I1217"/>
    <mergeCell ref="B1222:I1224"/>
    <mergeCell ref="C868:D868"/>
    <mergeCell ref="A1137:I1137"/>
    <mergeCell ref="A1150:I1150"/>
    <mergeCell ref="A1151:I1151"/>
    <mergeCell ref="B1219:I1220"/>
    <mergeCell ref="C1066:D1066"/>
    <mergeCell ref="G1545:I1545"/>
    <mergeCell ref="A1558:I1558"/>
    <mergeCell ref="A1536:I1536"/>
    <mergeCell ref="A1538:I1538"/>
    <mergeCell ref="A1386:I1386"/>
    <mergeCell ref="A1508:G1508"/>
    <mergeCell ref="D1513:F1513"/>
    <mergeCell ref="G1513:I1513"/>
    <mergeCell ref="A1488:I1488"/>
    <mergeCell ref="A1490:I1490"/>
    <mergeCell ref="A1560:D1560"/>
    <mergeCell ref="A1540:D1540"/>
    <mergeCell ref="A1436:I1436"/>
    <mergeCell ref="A1388:I1390"/>
    <mergeCell ref="A1336:I1336"/>
    <mergeCell ref="A1338:I1340"/>
    <mergeCell ref="A1342:I1342"/>
    <mergeCell ref="C1344:G1345"/>
    <mergeCell ref="A1542:G1542"/>
    <mergeCell ref="D1545:F1545"/>
    <mergeCell ref="A986:I986"/>
    <mergeCell ref="A1036:I1036"/>
    <mergeCell ref="A688:I688"/>
    <mergeCell ref="E691:F691"/>
    <mergeCell ref="C870:D870"/>
    <mergeCell ref="C1064:D1064"/>
    <mergeCell ref="A886:I886"/>
    <mergeCell ref="A936:I936"/>
    <mergeCell ref="A937:I937"/>
    <mergeCell ref="A741:I742"/>
    <mergeCell ref="A575:I575"/>
    <mergeCell ref="A586:I586"/>
    <mergeCell ref="A611:I611"/>
    <mergeCell ref="A1186:I1186"/>
    <mergeCell ref="E694:F694"/>
    <mergeCell ref="E699:F699"/>
    <mergeCell ref="A736:I736"/>
    <mergeCell ref="E940:F940"/>
    <mergeCell ref="E941:F941"/>
    <mergeCell ref="E960:F960"/>
    <mergeCell ref="A636:I636"/>
    <mergeCell ref="A645:I646"/>
    <mergeCell ref="A786:I786"/>
    <mergeCell ref="A836:I836"/>
    <mergeCell ref="A824:I824"/>
    <mergeCell ref="A648:I651"/>
    <mergeCell ref="E692:F692"/>
    <mergeCell ref="A686:I686"/>
    <mergeCell ref="A743:I745"/>
    <mergeCell ref="A747:I748"/>
    <mergeCell ref="E152:F152"/>
    <mergeCell ref="E151:F151"/>
    <mergeCell ref="E158:F158"/>
    <mergeCell ref="A538:I538"/>
    <mergeCell ref="A536:I536"/>
    <mergeCell ref="A565:I565"/>
    <mergeCell ref="A100:I100"/>
    <mergeCell ref="A137:I137"/>
    <mergeCell ref="A386:I386"/>
    <mergeCell ref="A511:I511"/>
    <mergeCell ref="A438:I438"/>
    <mergeCell ref="A436:I436"/>
    <mergeCell ref="A470:I470"/>
    <mergeCell ref="A136:I136"/>
    <mergeCell ref="E148:F148"/>
    <mergeCell ref="E146:F146"/>
    <mergeCell ref="F1296:G1296"/>
    <mergeCell ref="A236:I236"/>
    <mergeCell ref="A336:I336"/>
    <mergeCell ref="C370:D370"/>
    <mergeCell ref="C368:D368"/>
    <mergeCell ref="C366:D366"/>
    <mergeCell ref="C364:D364"/>
    <mergeCell ref="A465:I465"/>
    <mergeCell ref="C864:D864"/>
    <mergeCell ref="C866:D866"/>
    <mergeCell ref="A41:I41"/>
    <mergeCell ref="A53:G53"/>
    <mergeCell ref="F54:G54"/>
    <mergeCell ref="F55:G55"/>
    <mergeCell ref="F56:G56"/>
    <mergeCell ref="F57:G57"/>
    <mergeCell ref="E141:F141"/>
    <mergeCell ref="E144:F144"/>
    <mergeCell ref="E142:F142"/>
    <mergeCell ref="A475:I475"/>
    <mergeCell ref="E160:F160"/>
    <mergeCell ref="A186:I186"/>
    <mergeCell ref="A286:I286"/>
    <mergeCell ref="E147:F147"/>
    <mergeCell ref="E149:F149"/>
    <mergeCell ref="E159:F159"/>
    <mergeCell ref="A1552:G1552"/>
    <mergeCell ref="D1555:F1555"/>
    <mergeCell ref="G1555:I1555"/>
    <mergeCell ref="A232:I233"/>
    <mergeCell ref="A4:I6"/>
    <mergeCell ref="A8:I9"/>
    <mergeCell ref="A31:H31"/>
    <mergeCell ref="B37:G37"/>
    <mergeCell ref="A26:I27"/>
    <mergeCell ref="A102:I102"/>
    <mergeCell ref="F58:G58"/>
    <mergeCell ref="F59:G59"/>
    <mergeCell ref="A43:I43"/>
    <mergeCell ref="A45:I48"/>
    <mergeCell ref="A1548:I1548"/>
    <mergeCell ref="A1550:D1550"/>
    <mergeCell ref="A486:I486"/>
    <mergeCell ref="A86:I86"/>
    <mergeCell ref="E157:F157"/>
    <mergeCell ref="E140:F140"/>
    <mergeCell ref="F1510:G1510"/>
    <mergeCell ref="A1504:G1504"/>
    <mergeCell ref="H1304:I1304"/>
    <mergeCell ref="A1494:G1494"/>
    <mergeCell ref="H1303:I1303"/>
    <mergeCell ref="A1303:D1303"/>
    <mergeCell ref="A1500:I1500"/>
    <mergeCell ref="F1496:G1496"/>
    <mergeCell ref="C1568:F1569"/>
    <mergeCell ref="H1299:I1299"/>
    <mergeCell ref="A1492:G1492"/>
    <mergeCell ref="A1486:I1486"/>
    <mergeCell ref="A1562:G1562"/>
    <mergeCell ref="D1565:F1565"/>
    <mergeCell ref="G1565:I1565"/>
    <mergeCell ref="G1568:I1569"/>
    <mergeCell ref="A1502:G1502"/>
    <mergeCell ref="A1506:G1506"/>
  </mergeCells>
  <conditionalFormatting sqref="B141:B152">
    <cfRule type="expression" dxfId="0" priority="18">
      <formula>ISERR(B141)=TRUE</formula>
    </cfRule>
  </conditionalFormatting>
  <printOptions horizontalCentered="1"/>
  <pageMargins left="0.39370078740157483" right="0.19685039370078741" top="0.78740157480314965" bottom="0.78740157480314965" header="0.39370078740157483" footer="0.39370078740157483"/>
  <pageSetup paperSize="9" fitToHeight="48" orientation="portrait" horizontalDpi="300" verticalDpi="300" r:id="rId1"/>
  <headerFooter>
    <oddHeader>&amp;C&amp;"Arial,Negrito"&amp;10&amp;K03+000INSTITUTO NACIONAL DE PESQUISAS HIROVIÁRIAS - INPH      COMPOSIÇÃO DE PREÇOS UNITÁRIOS - CPU&amp;"Arial,Normal"&amp;K01+000Local:  Porto de Rio Grande - RS                        &amp;K000000Base: dezembro / 2014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86"/>
  <sheetViews>
    <sheetView workbookViewId="0"/>
  </sheetViews>
  <sheetFormatPr defaultRowHeight="15"/>
  <cols>
    <col min="1" max="1" width="26.85546875" customWidth="1"/>
    <col min="2" max="2" width="10.42578125" customWidth="1"/>
    <col min="12" max="12" width="11.42578125" customWidth="1"/>
    <col min="28" max="28" width="10.7109375" bestFit="1" customWidth="1"/>
    <col min="29" max="29" width="14.140625" customWidth="1"/>
    <col min="30" max="30" width="11.7109375" customWidth="1"/>
    <col min="31" max="31" width="21.85546875" customWidth="1"/>
    <col min="32" max="32" width="18" customWidth="1"/>
    <col min="33" max="33" width="20.42578125" customWidth="1"/>
    <col min="34" max="34" width="15.42578125" bestFit="1" customWidth="1"/>
    <col min="35" max="36" width="11.85546875" bestFit="1" customWidth="1"/>
    <col min="40" max="40" width="17.85546875" customWidth="1"/>
    <col min="42" max="42" width="11.42578125" bestFit="1" customWidth="1"/>
    <col min="43" max="43" width="12.7109375" bestFit="1" customWidth="1"/>
    <col min="44" max="44" width="7.42578125" bestFit="1" customWidth="1"/>
    <col min="45" max="45" width="17.5703125" bestFit="1" customWidth="1"/>
    <col min="46" max="46" width="14.5703125" bestFit="1" customWidth="1"/>
    <col min="47" max="47" width="17.42578125" bestFit="1" customWidth="1"/>
    <col min="48" max="48" width="14.85546875" bestFit="1" customWidth="1"/>
    <col min="49" max="49" width="13.42578125" bestFit="1" customWidth="1"/>
    <col min="50" max="50" width="9.7109375" bestFit="1" customWidth="1"/>
    <col min="51" max="51" width="7.42578125" bestFit="1" customWidth="1"/>
    <col min="52" max="52" width="9" bestFit="1" customWidth="1"/>
    <col min="53" max="53" width="9.28515625" bestFit="1" customWidth="1"/>
    <col min="54" max="54" width="8.28515625" bestFit="1" customWidth="1"/>
  </cols>
  <sheetData>
    <row r="1" spans="1:55">
      <c r="AB1">
        <v>1</v>
      </c>
      <c r="AC1">
        <v>2</v>
      </c>
      <c r="AD1">
        <v>3</v>
      </c>
      <c r="AE1">
        <v>4</v>
      </c>
      <c r="AF1">
        <v>5</v>
      </c>
      <c r="AG1">
        <v>6</v>
      </c>
      <c r="AH1">
        <v>7</v>
      </c>
      <c r="AI1">
        <v>8</v>
      </c>
      <c r="AJ1">
        <v>9</v>
      </c>
      <c r="AK1">
        <v>10</v>
      </c>
      <c r="AL1">
        <v>11</v>
      </c>
      <c r="AM1">
        <v>12</v>
      </c>
      <c r="AN1">
        <v>13</v>
      </c>
      <c r="AO1">
        <v>14</v>
      </c>
      <c r="AP1">
        <v>15</v>
      </c>
      <c r="AQ1">
        <v>16</v>
      </c>
      <c r="AR1">
        <v>17</v>
      </c>
      <c r="AS1">
        <v>18</v>
      </c>
      <c r="AT1">
        <v>19</v>
      </c>
      <c r="AU1">
        <v>20</v>
      </c>
      <c r="AV1">
        <v>21</v>
      </c>
      <c r="AW1">
        <v>22</v>
      </c>
      <c r="AX1">
        <v>23</v>
      </c>
      <c r="AY1">
        <v>24</v>
      </c>
      <c r="AZ1">
        <v>25</v>
      </c>
      <c r="BA1">
        <v>26</v>
      </c>
      <c r="BB1">
        <v>27</v>
      </c>
    </row>
    <row r="3" spans="1:55" ht="17.25" customHeight="1">
      <c r="AB3" s="818" t="s">
        <v>305</v>
      </c>
      <c r="AC3" s="818" t="s">
        <v>306</v>
      </c>
      <c r="AD3" s="818" t="s">
        <v>307</v>
      </c>
      <c r="AE3" s="818" t="s">
        <v>308</v>
      </c>
      <c r="AF3" s="818" t="s">
        <v>309</v>
      </c>
      <c r="AG3" s="818" t="s">
        <v>310</v>
      </c>
      <c r="AH3" s="818" t="s">
        <v>311</v>
      </c>
      <c r="AI3" s="818" t="s">
        <v>312</v>
      </c>
      <c r="AJ3" s="818"/>
      <c r="AK3" s="818" t="s">
        <v>313</v>
      </c>
      <c r="AN3" s="816" t="s">
        <v>326</v>
      </c>
    </row>
    <row r="4" spans="1:55" ht="15" customHeight="1">
      <c r="A4" t="s">
        <v>327</v>
      </c>
      <c r="D4" s="419">
        <f>AVERAGE(Euro!D3:D24)</f>
        <v>3.252540909090909</v>
      </c>
      <c r="AB4" s="818"/>
      <c r="AC4" s="818"/>
      <c r="AD4" s="818"/>
      <c r="AE4" s="818"/>
      <c r="AF4" s="818"/>
      <c r="AG4" s="818"/>
      <c r="AH4" s="818"/>
      <c r="AI4" s="818"/>
      <c r="AJ4" s="818"/>
      <c r="AK4" s="818"/>
      <c r="AN4" s="817"/>
      <c r="AP4" s="3" t="s">
        <v>42</v>
      </c>
      <c r="AQ4" s="3" t="s">
        <v>44</v>
      </c>
      <c r="AR4" s="3" t="s">
        <v>46</v>
      </c>
      <c r="AS4" s="3" t="s">
        <v>48</v>
      </c>
      <c r="AT4" s="3" t="s">
        <v>49</v>
      </c>
      <c r="AU4" s="3" t="s">
        <v>50</v>
      </c>
      <c r="AV4" s="3" t="s">
        <v>52</v>
      </c>
      <c r="AW4" s="3" t="s">
        <v>53</v>
      </c>
      <c r="AX4" s="3" t="s">
        <v>54</v>
      </c>
      <c r="AY4" s="3" t="s">
        <v>56</v>
      </c>
      <c r="AZ4" s="3" t="s">
        <v>57</v>
      </c>
      <c r="BA4" s="3" t="s">
        <v>58</v>
      </c>
      <c r="BB4" s="3" t="s">
        <v>59</v>
      </c>
    </row>
    <row r="5" spans="1:55" ht="18.75">
      <c r="AB5" s="818"/>
      <c r="AC5" s="818"/>
      <c r="AD5" s="158" t="s">
        <v>314</v>
      </c>
      <c r="AE5" s="158" t="s">
        <v>315</v>
      </c>
      <c r="AF5" s="158" t="s">
        <v>316</v>
      </c>
      <c r="AG5" s="158" t="s">
        <v>317</v>
      </c>
      <c r="AH5" s="158" t="s">
        <v>318</v>
      </c>
      <c r="AI5" s="158" t="s">
        <v>319</v>
      </c>
      <c r="AJ5" s="158" t="s">
        <v>320</v>
      </c>
      <c r="AK5" s="818"/>
      <c r="AN5" s="159">
        <v>1.04</v>
      </c>
      <c r="AP5">
        <v>15</v>
      </c>
      <c r="AQ5">
        <v>16</v>
      </c>
      <c r="AR5">
        <v>17</v>
      </c>
      <c r="AS5">
        <v>18</v>
      </c>
      <c r="AT5">
        <v>19</v>
      </c>
      <c r="AU5">
        <v>20</v>
      </c>
      <c r="AV5">
        <v>21</v>
      </c>
      <c r="AW5">
        <v>22</v>
      </c>
      <c r="AX5">
        <v>23</v>
      </c>
      <c r="AY5">
        <v>24</v>
      </c>
      <c r="AZ5">
        <v>25</v>
      </c>
      <c r="BA5">
        <v>26</v>
      </c>
      <c r="BB5">
        <v>27</v>
      </c>
    </row>
    <row r="6" spans="1:55" ht="15.75" thickBot="1">
      <c r="A6" t="s">
        <v>338</v>
      </c>
      <c r="D6" s="420">
        <f>AVERAGE(Dólar!D3:D24)</f>
        <v>2.6393636363636364</v>
      </c>
      <c r="K6" s="813" t="s">
        <v>396</v>
      </c>
      <c r="L6" s="813"/>
      <c r="M6" s="813"/>
      <c r="N6" s="813"/>
      <c r="O6" s="813"/>
      <c r="P6" s="813"/>
      <c r="AB6" s="263" t="s">
        <v>321</v>
      </c>
      <c r="AC6" s="263" t="s">
        <v>291</v>
      </c>
      <c r="AD6" s="263" t="s">
        <v>291</v>
      </c>
      <c r="AE6" s="263" t="s">
        <v>37</v>
      </c>
      <c r="AF6" s="263" t="s">
        <v>37</v>
      </c>
      <c r="AG6" s="263" t="s">
        <v>37</v>
      </c>
      <c r="AH6" s="263" t="s">
        <v>322</v>
      </c>
      <c r="AI6" s="263" t="s">
        <v>322</v>
      </c>
      <c r="AJ6" s="263" t="s">
        <v>322</v>
      </c>
      <c r="AK6" s="263" t="s">
        <v>323</v>
      </c>
      <c r="AP6" s="40">
        <v>30</v>
      </c>
      <c r="AQ6" s="40">
        <v>22</v>
      </c>
      <c r="AR6" s="40">
        <v>12</v>
      </c>
      <c r="AS6" s="40">
        <v>22</v>
      </c>
      <c r="AT6" s="40">
        <v>12</v>
      </c>
      <c r="AU6" s="40">
        <v>4</v>
      </c>
      <c r="AV6" s="40">
        <v>12</v>
      </c>
      <c r="AW6" s="40">
        <v>4</v>
      </c>
      <c r="AX6" s="40">
        <v>7</v>
      </c>
      <c r="AY6" s="40">
        <v>4</v>
      </c>
      <c r="AZ6" s="40">
        <v>7</v>
      </c>
      <c r="BA6" s="40">
        <v>12</v>
      </c>
      <c r="BB6" s="40">
        <v>7</v>
      </c>
    </row>
    <row r="7" spans="1:55">
      <c r="K7" s="159" t="s">
        <v>384</v>
      </c>
      <c r="L7" s="159"/>
      <c r="M7" s="159" t="s">
        <v>382</v>
      </c>
      <c r="N7" s="159"/>
      <c r="O7" s="159" t="s">
        <v>383</v>
      </c>
      <c r="P7" s="159"/>
      <c r="AB7" s="264">
        <v>900</v>
      </c>
      <c r="AC7" s="265">
        <v>2000</v>
      </c>
      <c r="AD7" s="265">
        <v>635</v>
      </c>
      <c r="AE7" s="265">
        <v>350</v>
      </c>
      <c r="AF7" s="265">
        <v>220</v>
      </c>
      <c r="AG7" s="265">
        <v>950</v>
      </c>
      <c r="AH7" s="265">
        <f t="shared" ref="AH7:AH18" si="0">AN7*$AN$5</f>
        <v>11024000</v>
      </c>
      <c r="AI7" s="265">
        <v>30952</v>
      </c>
      <c r="AJ7" s="265">
        <v>21917</v>
      </c>
      <c r="AK7" s="266">
        <v>0.20680000000000001</v>
      </c>
      <c r="AL7" s="265">
        <v>7</v>
      </c>
      <c r="AM7" s="267">
        <v>10</v>
      </c>
      <c r="AN7" s="161">
        <v>10600000</v>
      </c>
      <c r="AP7" s="155">
        <v>0</v>
      </c>
      <c r="AQ7" s="155">
        <v>1</v>
      </c>
      <c r="AR7" s="155">
        <v>2</v>
      </c>
      <c r="AS7" s="155">
        <v>1</v>
      </c>
      <c r="AT7" s="155">
        <v>0</v>
      </c>
      <c r="AU7" s="155">
        <v>3</v>
      </c>
      <c r="AV7" s="155">
        <v>3</v>
      </c>
      <c r="AW7" s="155">
        <v>3</v>
      </c>
      <c r="AX7" s="155">
        <v>1</v>
      </c>
      <c r="AY7" s="155">
        <v>1</v>
      </c>
      <c r="AZ7" s="155">
        <v>1</v>
      </c>
      <c r="BA7" s="155">
        <v>1</v>
      </c>
      <c r="BB7" s="155">
        <v>1</v>
      </c>
      <c r="BC7" s="1"/>
    </row>
    <row r="8" spans="1:55">
      <c r="A8" t="s">
        <v>392</v>
      </c>
      <c r="B8">
        <f>B6*$M$8*$O$8</f>
        <v>0</v>
      </c>
      <c r="C8">
        <f>C6*$M$8*$O$8</f>
        <v>0</v>
      </c>
      <c r="D8">
        <f>ROUNDUP(D6*$M$8*$O$8,2)</f>
        <v>2.5599999999999996</v>
      </c>
      <c r="K8" s="814">
        <v>929.12903225806451</v>
      </c>
      <c r="L8" s="814"/>
      <c r="M8" s="814">
        <f>K8/(1-0.0552-0.12)</f>
        <v>1126.4900973060919</v>
      </c>
      <c r="N8" s="814"/>
      <c r="O8" s="813">
        <v>8.5999999999999998E-4</v>
      </c>
      <c r="P8" s="813"/>
      <c r="AB8" s="268">
        <v>1300</v>
      </c>
      <c r="AC8" s="269">
        <v>3000</v>
      </c>
      <c r="AD8" s="269">
        <v>945</v>
      </c>
      <c r="AE8" s="269">
        <v>600</v>
      </c>
      <c r="AF8" s="269">
        <v>300</v>
      </c>
      <c r="AG8" s="269">
        <v>1550</v>
      </c>
      <c r="AH8" s="269">
        <f t="shared" si="0"/>
        <v>15912000</v>
      </c>
      <c r="AI8" s="269">
        <v>44676</v>
      </c>
      <c r="AJ8" s="269">
        <v>30508</v>
      </c>
      <c r="AK8" s="270">
        <v>0.19939999999999999</v>
      </c>
      <c r="AL8" s="269">
        <v>7</v>
      </c>
      <c r="AM8" s="271">
        <v>10</v>
      </c>
      <c r="AN8" s="161">
        <v>15300000</v>
      </c>
      <c r="AP8" s="155">
        <v>0</v>
      </c>
      <c r="AQ8" s="155">
        <v>1</v>
      </c>
      <c r="AR8" s="155">
        <v>2</v>
      </c>
      <c r="AS8" s="155">
        <v>1</v>
      </c>
      <c r="AT8" s="155">
        <v>0</v>
      </c>
      <c r="AU8" s="155">
        <v>3</v>
      </c>
      <c r="AV8" s="155">
        <v>3</v>
      </c>
      <c r="AW8" s="155">
        <v>3</v>
      </c>
      <c r="AX8" s="155">
        <v>1</v>
      </c>
      <c r="AY8" s="155">
        <v>1</v>
      </c>
      <c r="AZ8" s="155">
        <v>1</v>
      </c>
      <c r="BA8" s="155">
        <v>1</v>
      </c>
      <c r="BB8" s="155">
        <v>1</v>
      </c>
      <c r="BC8" s="1"/>
    </row>
    <row r="9" spans="1:55">
      <c r="D9" s="351"/>
      <c r="E9" s="351"/>
      <c r="F9" s="351"/>
      <c r="G9" s="351"/>
      <c r="H9" s="351"/>
      <c r="I9" s="351"/>
      <c r="J9" s="351"/>
      <c r="AB9" s="268">
        <v>1800</v>
      </c>
      <c r="AC9" s="269">
        <v>4000</v>
      </c>
      <c r="AD9" s="269">
        <v>1260</v>
      </c>
      <c r="AE9" s="269">
        <v>880</v>
      </c>
      <c r="AF9" s="269">
        <v>360</v>
      </c>
      <c r="AG9" s="269">
        <v>2200</v>
      </c>
      <c r="AH9" s="269">
        <f t="shared" si="0"/>
        <v>20592000</v>
      </c>
      <c r="AI9" s="269">
        <v>57816</v>
      </c>
      <c r="AJ9" s="269">
        <v>38734</v>
      </c>
      <c r="AK9" s="270">
        <v>0.1956</v>
      </c>
      <c r="AL9" s="269">
        <v>8</v>
      </c>
      <c r="AM9" s="271">
        <v>10</v>
      </c>
      <c r="AN9" s="161">
        <v>19800000</v>
      </c>
      <c r="AP9" s="155">
        <v>0</v>
      </c>
      <c r="AQ9" s="155">
        <v>1</v>
      </c>
      <c r="AR9" s="155">
        <v>2</v>
      </c>
      <c r="AS9" s="155">
        <v>1</v>
      </c>
      <c r="AT9" s="155">
        <v>0</v>
      </c>
      <c r="AU9" s="155">
        <v>3</v>
      </c>
      <c r="AV9" s="155">
        <v>3</v>
      </c>
      <c r="AW9" s="155">
        <v>3</v>
      </c>
      <c r="AX9" s="155">
        <v>1</v>
      </c>
      <c r="AY9" s="155">
        <v>1</v>
      </c>
      <c r="AZ9" s="155">
        <v>1</v>
      </c>
      <c r="BA9" s="155">
        <v>1</v>
      </c>
      <c r="BB9" s="155">
        <v>1</v>
      </c>
      <c r="BC9" s="110"/>
    </row>
    <row r="10" spans="1:55" ht="15" customHeight="1">
      <c r="D10" s="351"/>
      <c r="E10" s="351"/>
      <c r="F10" s="351"/>
      <c r="G10" s="351"/>
      <c r="H10" s="351"/>
      <c r="I10" s="351"/>
      <c r="J10" s="351"/>
      <c r="AB10" s="268">
        <v>2400</v>
      </c>
      <c r="AC10" s="269">
        <v>5200</v>
      </c>
      <c r="AD10" s="269">
        <v>1640</v>
      </c>
      <c r="AE10" s="269">
        <v>1000</v>
      </c>
      <c r="AF10" s="269">
        <v>660</v>
      </c>
      <c r="AG10" s="269">
        <v>2500</v>
      </c>
      <c r="AH10" s="269">
        <f t="shared" si="0"/>
        <v>25168000</v>
      </c>
      <c r="AI10" s="269">
        <v>70664</v>
      </c>
      <c r="AJ10" s="269">
        <v>42625</v>
      </c>
      <c r="AK10" s="270">
        <v>0.17610000000000001</v>
      </c>
      <c r="AL10" s="163">
        <v>8</v>
      </c>
      <c r="AM10" s="272">
        <v>11</v>
      </c>
      <c r="AN10" s="161">
        <v>24200000</v>
      </c>
      <c r="AP10" s="155">
        <v>1</v>
      </c>
      <c r="AQ10" s="155">
        <v>1</v>
      </c>
      <c r="AR10" s="155">
        <v>2</v>
      </c>
      <c r="AS10" s="155">
        <v>1</v>
      </c>
      <c r="AT10" s="155">
        <v>2</v>
      </c>
      <c r="AU10" s="155">
        <v>3</v>
      </c>
      <c r="AV10" s="155">
        <v>3</v>
      </c>
      <c r="AW10" s="155">
        <v>3</v>
      </c>
      <c r="AX10" s="155">
        <v>1</v>
      </c>
      <c r="AY10" s="155">
        <v>2</v>
      </c>
      <c r="AZ10" s="155">
        <v>2</v>
      </c>
      <c r="BA10" s="155">
        <v>2</v>
      </c>
      <c r="BB10" s="155">
        <v>2</v>
      </c>
      <c r="BC10" s="26" t="s">
        <v>60</v>
      </c>
    </row>
    <row r="11" spans="1:55" ht="15" customHeight="1">
      <c r="A11" s="351"/>
      <c r="D11" s="351"/>
      <c r="E11" s="351"/>
      <c r="F11" s="351"/>
      <c r="G11" s="351"/>
      <c r="H11" s="351"/>
      <c r="I11" s="351"/>
      <c r="J11" s="351"/>
      <c r="AB11" s="268">
        <v>2700</v>
      </c>
      <c r="AC11" s="269">
        <v>5800</v>
      </c>
      <c r="AD11" s="269">
        <v>1800</v>
      </c>
      <c r="AE11" s="269">
        <v>1250</v>
      </c>
      <c r="AF11" s="269">
        <v>660</v>
      </c>
      <c r="AG11" s="269">
        <v>3550</v>
      </c>
      <c r="AH11" s="269">
        <f t="shared" si="0"/>
        <v>28288000</v>
      </c>
      <c r="AI11" s="269">
        <v>79424</v>
      </c>
      <c r="AJ11" s="269">
        <v>45142</v>
      </c>
      <c r="AK11" s="270">
        <v>0.16600000000000001</v>
      </c>
      <c r="AL11" s="163">
        <v>9</v>
      </c>
      <c r="AM11" s="272">
        <v>11</v>
      </c>
      <c r="AN11" s="161">
        <v>27200000</v>
      </c>
      <c r="AP11" s="155">
        <v>1</v>
      </c>
      <c r="AQ11" s="155">
        <v>1</v>
      </c>
      <c r="AR11" s="155">
        <v>2</v>
      </c>
      <c r="AS11" s="155">
        <v>1</v>
      </c>
      <c r="AT11" s="155">
        <v>2</v>
      </c>
      <c r="AU11" s="155">
        <v>3</v>
      </c>
      <c r="AV11" s="155">
        <v>3</v>
      </c>
      <c r="AW11" s="155">
        <v>3</v>
      </c>
      <c r="AX11" s="155">
        <v>1</v>
      </c>
      <c r="AY11" s="155">
        <v>2</v>
      </c>
      <c r="AZ11" s="155">
        <v>2</v>
      </c>
      <c r="BA11" s="155">
        <v>2</v>
      </c>
      <c r="BB11" s="155">
        <v>2</v>
      </c>
      <c r="BC11" s="28"/>
    </row>
    <row r="12" spans="1:55" ht="15" customHeight="1">
      <c r="AB12" s="268">
        <v>3500</v>
      </c>
      <c r="AC12" s="269">
        <v>7600</v>
      </c>
      <c r="AD12" s="269">
        <v>2400</v>
      </c>
      <c r="AE12" s="269">
        <v>1550</v>
      </c>
      <c r="AF12" s="269">
        <v>760</v>
      </c>
      <c r="AG12" s="269">
        <v>4000</v>
      </c>
      <c r="AH12" s="269">
        <f t="shared" si="0"/>
        <v>34944000</v>
      </c>
      <c r="AI12" s="269">
        <v>98112</v>
      </c>
      <c r="AJ12" s="269">
        <v>50513</v>
      </c>
      <c r="AK12" s="270">
        <v>0.15029999999999999</v>
      </c>
      <c r="AL12" s="163">
        <v>9</v>
      </c>
      <c r="AM12" s="272">
        <v>12</v>
      </c>
      <c r="AN12" s="161">
        <v>33600000</v>
      </c>
      <c r="AP12" s="155">
        <v>1</v>
      </c>
      <c r="AQ12" s="155">
        <v>1</v>
      </c>
      <c r="AR12" s="155">
        <v>2</v>
      </c>
      <c r="AS12" s="155">
        <v>1</v>
      </c>
      <c r="AT12" s="155">
        <v>2</v>
      </c>
      <c r="AU12" s="155">
        <v>3</v>
      </c>
      <c r="AV12" s="155">
        <v>3</v>
      </c>
      <c r="AW12" s="155">
        <v>3</v>
      </c>
      <c r="AX12" s="155">
        <v>1</v>
      </c>
      <c r="AY12" s="155">
        <v>2</v>
      </c>
      <c r="AZ12" s="155">
        <v>2</v>
      </c>
      <c r="BA12" s="155">
        <v>2</v>
      </c>
      <c r="BB12" s="155">
        <v>2</v>
      </c>
      <c r="BC12" s="156">
        <f>SUM(AP12:BB12)</f>
        <v>25</v>
      </c>
    </row>
    <row r="13" spans="1:55">
      <c r="A13" t="s">
        <v>328</v>
      </c>
      <c r="B13">
        <v>724</v>
      </c>
      <c r="AB13" s="268">
        <v>4700</v>
      </c>
      <c r="AC13" s="269">
        <v>9900</v>
      </c>
      <c r="AD13" s="269">
        <v>3050</v>
      </c>
      <c r="AE13" s="269">
        <v>1950</v>
      </c>
      <c r="AF13" s="269">
        <v>800</v>
      </c>
      <c r="AG13" s="269">
        <v>5100</v>
      </c>
      <c r="AH13" s="269">
        <f t="shared" si="0"/>
        <v>42536000</v>
      </c>
      <c r="AI13" s="269">
        <v>119428</v>
      </c>
      <c r="AJ13" s="269">
        <v>56639</v>
      </c>
      <c r="AK13" s="270">
        <v>0.13850000000000001</v>
      </c>
      <c r="AL13" s="163">
        <v>10</v>
      </c>
      <c r="AM13" s="272">
        <v>12</v>
      </c>
      <c r="AN13" s="161">
        <v>40900000</v>
      </c>
      <c r="AP13" s="155">
        <v>1</v>
      </c>
      <c r="AQ13" s="155">
        <v>1</v>
      </c>
      <c r="AR13" s="155">
        <v>2</v>
      </c>
      <c r="AS13" s="155">
        <v>1</v>
      </c>
      <c r="AT13" s="155">
        <v>2</v>
      </c>
      <c r="AU13" s="155">
        <v>3</v>
      </c>
      <c r="AV13" s="155">
        <v>3</v>
      </c>
      <c r="AW13" s="155">
        <v>3</v>
      </c>
      <c r="AX13" s="155">
        <v>1</v>
      </c>
      <c r="AY13" s="155">
        <v>2</v>
      </c>
      <c r="AZ13" s="155">
        <v>2</v>
      </c>
      <c r="BA13" s="155">
        <v>2</v>
      </c>
      <c r="BB13" s="155">
        <v>2</v>
      </c>
    </row>
    <row r="14" spans="1:55">
      <c r="AB14" s="268">
        <v>6200</v>
      </c>
      <c r="AC14" s="269">
        <v>13000</v>
      </c>
      <c r="AD14" s="269">
        <v>3925</v>
      </c>
      <c r="AE14" s="269">
        <v>2400</v>
      </c>
      <c r="AF14" s="269">
        <v>850</v>
      </c>
      <c r="AG14" s="269">
        <v>6450</v>
      </c>
      <c r="AH14" s="269">
        <f t="shared" si="0"/>
        <v>52104000</v>
      </c>
      <c r="AI14" s="269">
        <v>146292</v>
      </c>
      <c r="AJ14" s="269">
        <v>64359</v>
      </c>
      <c r="AK14" s="270">
        <v>0.1285</v>
      </c>
      <c r="AL14" s="163">
        <v>10</v>
      </c>
      <c r="AM14" s="272">
        <v>12</v>
      </c>
      <c r="AN14" s="161">
        <v>50100000</v>
      </c>
      <c r="AP14" s="155">
        <v>1</v>
      </c>
      <c r="AQ14" s="155">
        <v>1</v>
      </c>
      <c r="AR14" s="155">
        <v>2</v>
      </c>
      <c r="AS14" s="155">
        <v>1</v>
      </c>
      <c r="AT14" s="155">
        <v>2</v>
      </c>
      <c r="AU14" s="155">
        <v>3</v>
      </c>
      <c r="AV14" s="155">
        <v>3</v>
      </c>
      <c r="AW14" s="155">
        <v>3</v>
      </c>
      <c r="AX14" s="155">
        <v>1</v>
      </c>
      <c r="AY14" s="155">
        <v>2</v>
      </c>
      <c r="AZ14" s="155">
        <v>2</v>
      </c>
      <c r="BA14" s="155">
        <v>2</v>
      </c>
      <c r="BB14" s="155">
        <v>2</v>
      </c>
    </row>
    <row r="15" spans="1:55">
      <c r="A15" t="s">
        <v>394</v>
      </c>
      <c r="B15" s="296">
        <v>0.47710000000000002</v>
      </c>
      <c r="AB15" s="268">
        <v>7700</v>
      </c>
      <c r="AC15" s="269">
        <v>16000</v>
      </c>
      <c r="AD15" s="269">
        <v>4780</v>
      </c>
      <c r="AE15" s="269">
        <v>2600</v>
      </c>
      <c r="AF15" s="269">
        <v>1000</v>
      </c>
      <c r="AG15" s="269">
        <v>7350</v>
      </c>
      <c r="AH15" s="269">
        <f t="shared" si="0"/>
        <v>60424000</v>
      </c>
      <c r="AI15" s="269">
        <v>169652</v>
      </c>
      <c r="AJ15" s="269">
        <v>71072</v>
      </c>
      <c r="AK15" s="270">
        <v>0.12230000000000001</v>
      </c>
      <c r="AL15" s="163">
        <v>10</v>
      </c>
      <c r="AM15" s="272">
        <v>12</v>
      </c>
      <c r="AN15" s="161">
        <v>58100000</v>
      </c>
      <c r="AP15" s="155">
        <v>1</v>
      </c>
      <c r="AQ15" s="155">
        <v>1</v>
      </c>
      <c r="AR15" s="155">
        <v>2</v>
      </c>
      <c r="AS15" s="155">
        <v>1</v>
      </c>
      <c r="AT15" s="155">
        <v>2</v>
      </c>
      <c r="AU15" s="155">
        <v>3</v>
      </c>
      <c r="AV15" s="155">
        <v>3</v>
      </c>
      <c r="AW15" s="155">
        <v>3</v>
      </c>
      <c r="AX15" s="155">
        <v>1</v>
      </c>
      <c r="AY15" s="155">
        <v>2</v>
      </c>
      <c r="AZ15" s="155">
        <v>2</v>
      </c>
      <c r="BA15" s="155">
        <v>2</v>
      </c>
      <c r="BB15" s="155">
        <v>2</v>
      </c>
    </row>
    <row r="16" spans="1:55" ht="15" customHeight="1">
      <c r="AB16" s="268">
        <v>9100</v>
      </c>
      <c r="AC16" s="269">
        <v>19000</v>
      </c>
      <c r="AD16" s="269">
        <v>5635</v>
      </c>
      <c r="AE16" s="269">
        <v>3500</v>
      </c>
      <c r="AF16" s="269">
        <v>1600</v>
      </c>
      <c r="AG16" s="269">
        <v>9400</v>
      </c>
      <c r="AH16" s="269">
        <f t="shared" si="0"/>
        <v>71448000</v>
      </c>
      <c r="AI16" s="269">
        <v>200604</v>
      </c>
      <c r="AJ16" s="269">
        <v>79967</v>
      </c>
      <c r="AK16" s="270">
        <v>0.1164</v>
      </c>
      <c r="AL16" s="163">
        <v>10</v>
      </c>
      <c r="AM16" s="272">
        <v>13</v>
      </c>
      <c r="AN16" s="161">
        <v>68700000</v>
      </c>
      <c r="AP16" s="155">
        <v>1</v>
      </c>
      <c r="AQ16" s="155">
        <v>1</v>
      </c>
      <c r="AR16" s="155">
        <v>2</v>
      </c>
      <c r="AS16" s="155">
        <v>1</v>
      </c>
      <c r="AT16" s="155">
        <v>2</v>
      </c>
      <c r="AU16" s="155">
        <v>3</v>
      </c>
      <c r="AV16" s="155">
        <v>3</v>
      </c>
      <c r="AW16" s="155">
        <v>3</v>
      </c>
      <c r="AX16" s="155">
        <v>1</v>
      </c>
      <c r="AY16" s="155">
        <v>2</v>
      </c>
      <c r="AZ16" s="155">
        <v>2</v>
      </c>
      <c r="BA16" s="155">
        <v>2</v>
      </c>
      <c r="BB16" s="155">
        <v>2</v>
      </c>
    </row>
    <row r="17" spans="1:54" ht="15" customHeight="1">
      <c r="A17" s="351"/>
      <c r="B17" s="385"/>
      <c r="AB17" s="268">
        <v>11000</v>
      </c>
      <c r="AC17" s="269">
        <v>23000</v>
      </c>
      <c r="AD17" s="269">
        <v>6830</v>
      </c>
      <c r="AE17" s="269">
        <v>4320</v>
      </c>
      <c r="AF17" s="269">
        <v>1600</v>
      </c>
      <c r="AG17" s="269">
        <v>10800</v>
      </c>
      <c r="AH17" s="269">
        <f t="shared" si="0"/>
        <v>83616000</v>
      </c>
      <c r="AI17" s="269">
        <v>234768</v>
      </c>
      <c r="AJ17" s="269">
        <v>89786</v>
      </c>
      <c r="AK17" s="270">
        <v>0.11169999999999999</v>
      </c>
      <c r="AL17" s="163">
        <v>10</v>
      </c>
      <c r="AM17" s="272">
        <v>13</v>
      </c>
      <c r="AN17" s="161">
        <v>80400000</v>
      </c>
      <c r="AP17" s="155">
        <v>1</v>
      </c>
      <c r="AQ17" s="155">
        <v>1</v>
      </c>
      <c r="AR17" s="155">
        <v>2</v>
      </c>
      <c r="AS17" s="155">
        <v>1</v>
      </c>
      <c r="AT17" s="155">
        <v>2</v>
      </c>
      <c r="AU17" s="155">
        <v>3</v>
      </c>
      <c r="AV17" s="155">
        <v>3</v>
      </c>
      <c r="AW17" s="155">
        <v>3</v>
      </c>
      <c r="AX17" s="155">
        <v>1</v>
      </c>
      <c r="AY17" s="155">
        <v>2</v>
      </c>
      <c r="AZ17" s="155">
        <v>2</v>
      </c>
      <c r="BA17" s="155">
        <v>2</v>
      </c>
      <c r="BB17" s="155">
        <v>2</v>
      </c>
    </row>
    <row r="18" spans="1:54">
      <c r="AB18" s="268">
        <v>12500</v>
      </c>
      <c r="AC18" s="269">
        <v>26000</v>
      </c>
      <c r="AD18" s="269">
        <v>7610</v>
      </c>
      <c r="AE18" s="269">
        <v>5200</v>
      </c>
      <c r="AF18" s="269">
        <v>1600</v>
      </c>
      <c r="AG18" s="269">
        <v>13000</v>
      </c>
      <c r="AH18" s="269">
        <f t="shared" si="0"/>
        <v>93392000</v>
      </c>
      <c r="AI18" s="269">
        <v>262216</v>
      </c>
      <c r="AJ18" s="269">
        <v>97674</v>
      </c>
      <c r="AK18" s="270">
        <v>0.10879999999999999</v>
      </c>
      <c r="AL18" s="163">
        <v>10</v>
      </c>
      <c r="AM18" s="272">
        <v>13</v>
      </c>
      <c r="AN18" s="161">
        <v>89800000</v>
      </c>
      <c r="AP18" s="155">
        <v>1</v>
      </c>
      <c r="AQ18" s="155">
        <v>1</v>
      </c>
      <c r="AR18" s="155">
        <v>2</v>
      </c>
      <c r="AS18" s="155">
        <v>1</v>
      </c>
      <c r="AT18" s="155">
        <v>2</v>
      </c>
      <c r="AU18" s="155">
        <v>3</v>
      </c>
      <c r="AV18" s="155">
        <v>3</v>
      </c>
      <c r="AW18" s="155">
        <v>3</v>
      </c>
      <c r="AX18" s="155">
        <v>1</v>
      </c>
      <c r="AY18" s="155">
        <v>2</v>
      </c>
      <c r="AZ18" s="155">
        <v>2</v>
      </c>
      <c r="BA18" s="155">
        <v>2</v>
      </c>
      <c r="BB18" s="155">
        <v>2</v>
      </c>
    </row>
    <row r="19" spans="1:54">
      <c r="A19" t="s">
        <v>395</v>
      </c>
      <c r="B19" s="301">
        <v>0.03</v>
      </c>
      <c r="AB19" s="268">
        <v>13500</v>
      </c>
      <c r="AC19" s="269">
        <v>29000</v>
      </c>
      <c r="AD19" s="269">
        <v>8685</v>
      </c>
      <c r="AE19" s="269">
        <v>5200</v>
      </c>
      <c r="AF19" s="269">
        <v>1800</v>
      </c>
      <c r="AG19" s="269">
        <v>13000</v>
      </c>
      <c r="AH19" s="269">
        <f t="shared" ref="AH19:AH27" si="1">AN19*$AN$5</f>
        <v>101608000</v>
      </c>
      <c r="AI19" s="269">
        <v>285284</v>
      </c>
      <c r="AJ19" s="269">
        <v>104303</v>
      </c>
      <c r="AK19" s="270">
        <v>0.10680000000000001</v>
      </c>
      <c r="AL19" s="163">
        <v>10</v>
      </c>
      <c r="AM19" s="272">
        <v>15</v>
      </c>
      <c r="AN19" s="161">
        <v>97700000</v>
      </c>
      <c r="AP19" s="155">
        <v>1</v>
      </c>
      <c r="AQ19" s="155">
        <v>1</v>
      </c>
      <c r="AR19" s="155">
        <v>2</v>
      </c>
      <c r="AS19" s="155">
        <v>1</v>
      </c>
      <c r="AT19" s="155">
        <v>2</v>
      </c>
      <c r="AU19" s="155">
        <v>3</v>
      </c>
      <c r="AV19" s="155">
        <v>3</v>
      </c>
      <c r="AW19" s="155">
        <v>3</v>
      </c>
      <c r="AX19" s="155">
        <v>1</v>
      </c>
      <c r="AY19" s="155">
        <v>2</v>
      </c>
      <c r="AZ19" s="155">
        <v>2</v>
      </c>
      <c r="BA19" s="155">
        <v>2</v>
      </c>
      <c r="BB19" s="155">
        <v>2</v>
      </c>
    </row>
    <row r="20" spans="1:54">
      <c r="AB20" s="268">
        <v>18000</v>
      </c>
      <c r="AC20" s="269">
        <v>40000</v>
      </c>
      <c r="AD20" s="269">
        <v>12100</v>
      </c>
      <c r="AE20" s="269">
        <v>6680</v>
      </c>
      <c r="AF20" s="269">
        <v>2000</v>
      </c>
      <c r="AG20" s="269">
        <v>16700</v>
      </c>
      <c r="AH20" s="269">
        <f t="shared" si="1"/>
        <v>133120000</v>
      </c>
      <c r="AI20" s="269">
        <v>373760</v>
      </c>
      <c r="AJ20" s="269">
        <v>129730</v>
      </c>
      <c r="AK20" s="270">
        <v>0.1014</v>
      </c>
      <c r="AL20" s="163">
        <v>10</v>
      </c>
      <c r="AM20" s="272">
        <v>15</v>
      </c>
      <c r="AN20" s="161">
        <v>128000000</v>
      </c>
      <c r="AP20" s="155">
        <v>1</v>
      </c>
      <c r="AQ20" s="155">
        <v>1</v>
      </c>
      <c r="AR20" s="155">
        <v>2</v>
      </c>
      <c r="AS20" s="155">
        <v>1</v>
      </c>
      <c r="AT20" s="155">
        <v>2</v>
      </c>
      <c r="AU20" s="155">
        <v>3</v>
      </c>
      <c r="AV20" s="155">
        <v>3</v>
      </c>
      <c r="AW20" s="155">
        <v>3</v>
      </c>
      <c r="AX20" s="155">
        <v>1</v>
      </c>
      <c r="AY20" s="155">
        <v>2</v>
      </c>
      <c r="AZ20" s="155">
        <v>2</v>
      </c>
      <c r="BA20" s="155">
        <v>2</v>
      </c>
      <c r="BB20" s="155">
        <v>2</v>
      </c>
    </row>
    <row r="21" spans="1:54">
      <c r="B21" s="301"/>
      <c r="AB21" s="268">
        <v>19000</v>
      </c>
      <c r="AC21" s="269">
        <v>42000</v>
      </c>
      <c r="AD21" s="269">
        <v>13750</v>
      </c>
      <c r="AE21" s="269">
        <v>7000</v>
      </c>
      <c r="AF21" s="269">
        <v>2000</v>
      </c>
      <c r="AG21" s="269">
        <v>17500</v>
      </c>
      <c r="AH21" s="269">
        <f t="shared" si="1"/>
        <v>146640000</v>
      </c>
      <c r="AI21" s="269">
        <v>411720</v>
      </c>
      <c r="AJ21" s="269">
        <v>140639</v>
      </c>
      <c r="AK21" s="270">
        <v>9.9699999999999997E-2</v>
      </c>
      <c r="AL21" s="163">
        <v>10</v>
      </c>
      <c r="AM21" s="272">
        <v>15</v>
      </c>
      <c r="AN21" s="161">
        <v>141000000</v>
      </c>
      <c r="AP21" s="155">
        <v>1</v>
      </c>
      <c r="AQ21" s="155">
        <v>1</v>
      </c>
      <c r="AR21" s="155">
        <v>2</v>
      </c>
      <c r="AS21" s="155">
        <v>1</v>
      </c>
      <c r="AT21" s="155">
        <v>2</v>
      </c>
      <c r="AU21" s="155">
        <v>3</v>
      </c>
      <c r="AV21" s="155">
        <v>3</v>
      </c>
      <c r="AW21" s="155">
        <v>3</v>
      </c>
      <c r="AX21" s="155">
        <v>1</v>
      </c>
      <c r="AY21" s="155">
        <v>2</v>
      </c>
      <c r="AZ21" s="155">
        <v>2</v>
      </c>
      <c r="BA21" s="155">
        <v>2</v>
      </c>
      <c r="BB21" s="155">
        <v>2</v>
      </c>
    </row>
    <row r="22" spans="1:54">
      <c r="AB22" s="268">
        <v>22500</v>
      </c>
      <c r="AC22" s="269">
        <v>48000</v>
      </c>
      <c r="AD22" s="269">
        <v>15950</v>
      </c>
      <c r="AE22" s="269">
        <v>7200</v>
      </c>
      <c r="AF22" s="269">
        <v>3000</v>
      </c>
      <c r="AG22" s="269">
        <v>18000</v>
      </c>
      <c r="AH22" s="269">
        <f t="shared" si="1"/>
        <v>163280000</v>
      </c>
      <c r="AI22" s="269">
        <v>458440</v>
      </c>
      <c r="AJ22" s="269">
        <v>154066</v>
      </c>
      <c r="AK22" s="270">
        <v>9.8100000000000007E-2</v>
      </c>
      <c r="AL22" s="163">
        <v>10</v>
      </c>
      <c r="AM22" s="272">
        <v>18</v>
      </c>
      <c r="AN22" s="161">
        <v>157000000</v>
      </c>
      <c r="AP22" s="155">
        <v>1</v>
      </c>
      <c r="AQ22" s="155">
        <v>1</v>
      </c>
      <c r="AR22" s="155">
        <v>2</v>
      </c>
      <c r="AS22" s="155">
        <v>1</v>
      </c>
      <c r="AT22" s="155">
        <v>2</v>
      </c>
      <c r="AU22" s="155">
        <v>3</v>
      </c>
      <c r="AV22" s="155">
        <v>3</v>
      </c>
      <c r="AW22" s="155">
        <v>3</v>
      </c>
      <c r="AX22" s="155">
        <v>1</v>
      </c>
      <c r="AY22" s="155">
        <v>2</v>
      </c>
      <c r="AZ22" s="155">
        <v>2</v>
      </c>
      <c r="BA22" s="155">
        <v>2</v>
      </c>
      <c r="BB22" s="155">
        <v>2</v>
      </c>
    </row>
    <row r="23" spans="1:54">
      <c r="AB23" s="268">
        <v>24000</v>
      </c>
      <c r="AC23" s="269">
        <v>60000</v>
      </c>
      <c r="AD23" s="269">
        <v>18250</v>
      </c>
      <c r="AE23" s="269">
        <v>9600</v>
      </c>
      <c r="AF23" s="269">
        <v>4000</v>
      </c>
      <c r="AG23" s="269">
        <v>24000</v>
      </c>
      <c r="AH23" s="269">
        <f t="shared" si="1"/>
        <v>191360000</v>
      </c>
      <c r="AI23" s="269">
        <v>537280</v>
      </c>
      <c r="AJ23" s="269">
        <v>176723</v>
      </c>
      <c r="AK23" s="270">
        <v>9.6000000000000002E-2</v>
      </c>
      <c r="AL23" s="163">
        <v>10</v>
      </c>
      <c r="AM23" s="272">
        <v>18</v>
      </c>
      <c r="AN23" s="161">
        <v>184000000</v>
      </c>
      <c r="AP23" s="155">
        <v>1</v>
      </c>
      <c r="AQ23" s="155">
        <v>1</v>
      </c>
      <c r="AR23" s="155">
        <v>2</v>
      </c>
      <c r="AS23" s="155">
        <v>1</v>
      </c>
      <c r="AT23" s="155">
        <v>2</v>
      </c>
      <c r="AU23" s="155">
        <v>3</v>
      </c>
      <c r="AV23" s="155">
        <v>3</v>
      </c>
      <c r="AW23" s="155">
        <v>3</v>
      </c>
      <c r="AX23" s="155">
        <v>1</v>
      </c>
      <c r="AY23" s="155">
        <v>2</v>
      </c>
      <c r="AZ23" s="155">
        <v>2</v>
      </c>
      <c r="BA23" s="155">
        <v>2</v>
      </c>
      <c r="BB23" s="155">
        <v>2</v>
      </c>
    </row>
    <row r="24" spans="1:54">
      <c r="J24" s="351"/>
      <c r="AB24" s="268">
        <v>35000</v>
      </c>
      <c r="AC24" s="269">
        <v>83000</v>
      </c>
      <c r="AD24" s="269">
        <v>22440</v>
      </c>
      <c r="AE24" s="269">
        <v>9600</v>
      </c>
      <c r="AF24" s="269">
        <v>4000</v>
      </c>
      <c r="AG24" s="269">
        <v>24000</v>
      </c>
      <c r="AH24" s="269">
        <f t="shared" si="1"/>
        <v>220480000</v>
      </c>
      <c r="AI24" s="269">
        <v>619040</v>
      </c>
      <c r="AJ24" s="269">
        <v>200220</v>
      </c>
      <c r="AK24" s="270">
        <v>9.4399999999999998E-2</v>
      </c>
      <c r="AL24" s="163">
        <v>10</v>
      </c>
      <c r="AM24" s="272">
        <v>18</v>
      </c>
      <c r="AN24" s="161">
        <v>212000000</v>
      </c>
      <c r="AP24" s="155">
        <v>1</v>
      </c>
      <c r="AQ24" s="155">
        <v>1</v>
      </c>
      <c r="AR24" s="155">
        <v>2</v>
      </c>
      <c r="AS24" s="155">
        <v>1</v>
      </c>
      <c r="AT24" s="155">
        <v>2</v>
      </c>
      <c r="AU24" s="155">
        <v>3</v>
      </c>
      <c r="AV24" s="155">
        <v>3</v>
      </c>
      <c r="AW24" s="155">
        <v>3</v>
      </c>
      <c r="AX24" s="155">
        <v>1</v>
      </c>
      <c r="AY24" s="155">
        <v>2</v>
      </c>
      <c r="AZ24" s="155">
        <v>2</v>
      </c>
      <c r="BA24" s="155">
        <v>2</v>
      </c>
      <c r="BB24" s="155">
        <v>2</v>
      </c>
    </row>
    <row r="25" spans="1:54">
      <c r="J25" s="351"/>
      <c r="AB25" s="268">
        <v>45000</v>
      </c>
      <c r="AC25" s="269">
        <v>105000</v>
      </c>
      <c r="AD25" s="269">
        <v>27000</v>
      </c>
      <c r="AE25" s="269">
        <v>13000</v>
      </c>
      <c r="AF25" s="269">
        <v>4500</v>
      </c>
      <c r="AG25" s="269">
        <v>38000</v>
      </c>
      <c r="AH25" s="269">
        <f t="shared" si="1"/>
        <v>271440000</v>
      </c>
      <c r="AI25" s="269">
        <v>762120</v>
      </c>
      <c r="AJ25" s="269">
        <v>241339</v>
      </c>
      <c r="AK25" s="270">
        <v>9.2499999999999999E-2</v>
      </c>
      <c r="AL25" s="163">
        <v>10</v>
      </c>
      <c r="AM25" s="272">
        <v>18</v>
      </c>
      <c r="AN25" s="161">
        <v>261000000</v>
      </c>
      <c r="AP25" s="155">
        <v>1</v>
      </c>
      <c r="AQ25" s="155">
        <v>1</v>
      </c>
      <c r="AR25" s="155">
        <v>2</v>
      </c>
      <c r="AS25" s="155">
        <v>1</v>
      </c>
      <c r="AT25" s="155">
        <v>2</v>
      </c>
      <c r="AU25" s="155">
        <v>3</v>
      </c>
      <c r="AV25" s="155">
        <v>3</v>
      </c>
      <c r="AW25" s="155">
        <v>3</v>
      </c>
      <c r="AX25" s="155">
        <v>1</v>
      </c>
      <c r="AY25" s="155">
        <v>2</v>
      </c>
      <c r="AZ25" s="155">
        <v>2</v>
      </c>
      <c r="BA25" s="155">
        <v>2</v>
      </c>
      <c r="BB25" s="155">
        <v>2</v>
      </c>
    </row>
    <row r="26" spans="1:54">
      <c r="J26" s="351"/>
      <c r="AB26" s="268"/>
      <c r="AC26" s="269"/>
      <c r="AD26" s="269"/>
      <c r="AE26" s="269"/>
      <c r="AF26" s="269"/>
      <c r="AG26" s="269"/>
      <c r="AH26" s="269"/>
      <c r="AI26" s="269"/>
      <c r="AJ26" s="269"/>
      <c r="AK26" s="270"/>
      <c r="AL26" s="163">
        <v>1.06</v>
      </c>
      <c r="AM26" s="272"/>
      <c r="AN26" s="161"/>
    </row>
    <row r="27" spans="1:54">
      <c r="I27" s="351"/>
      <c r="J27" s="351"/>
      <c r="AB27" s="273">
        <v>18292</v>
      </c>
      <c r="AC27" s="269"/>
      <c r="AD27" s="269">
        <v>12100</v>
      </c>
      <c r="AE27" s="269">
        <v>8800</v>
      </c>
      <c r="AF27" s="269">
        <v>2500</v>
      </c>
      <c r="AG27" s="269">
        <v>15500</v>
      </c>
      <c r="AH27" s="269">
        <f t="shared" si="1"/>
        <v>136726711.88158301</v>
      </c>
      <c r="AI27" s="269"/>
      <c r="AJ27" s="269"/>
      <c r="AK27" s="270"/>
      <c r="AL27" s="163">
        <v>10</v>
      </c>
      <c r="AM27" s="272">
        <v>18</v>
      </c>
      <c r="AN27" s="161">
        <f>6000*AD27+1212000*(AD27^0.35)-6464000+1900*AE27+785*AF27+910*AG27</f>
        <v>131467992.1938298</v>
      </c>
      <c r="AP27" s="155">
        <v>1</v>
      </c>
      <c r="AQ27" s="155">
        <v>1</v>
      </c>
      <c r="AR27" s="155">
        <v>2</v>
      </c>
      <c r="AS27" s="155">
        <v>1</v>
      </c>
      <c r="AT27" s="155">
        <v>2</v>
      </c>
      <c r="AU27" s="155">
        <v>3</v>
      </c>
      <c r="AV27" s="155">
        <v>3</v>
      </c>
      <c r="AW27" s="155">
        <v>3</v>
      </c>
      <c r="AX27" s="155">
        <v>1</v>
      </c>
      <c r="AY27" s="155">
        <v>2</v>
      </c>
      <c r="AZ27" s="155">
        <v>2</v>
      </c>
      <c r="BA27" s="155">
        <v>2</v>
      </c>
      <c r="BB27" s="155">
        <v>2</v>
      </c>
    </row>
    <row r="28" spans="1:54" ht="15.75" thickBot="1">
      <c r="I28" s="351"/>
      <c r="J28" s="351"/>
      <c r="AB28" s="274"/>
      <c r="AC28" s="275"/>
      <c r="AD28" s="275"/>
      <c r="AE28" s="275"/>
      <c r="AF28" s="275"/>
      <c r="AG28" s="275"/>
      <c r="AH28" s="275"/>
      <c r="AI28" s="275"/>
      <c r="AJ28" s="275"/>
      <c r="AK28" s="276"/>
      <c r="AL28" s="277"/>
      <c r="AM28" s="278"/>
      <c r="AN28" s="161"/>
    </row>
    <row r="29" spans="1:54">
      <c r="I29" s="351"/>
      <c r="J29" s="35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2"/>
      <c r="AL29" s="163"/>
      <c r="AM29" s="163"/>
      <c r="AN29" s="161"/>
    </row>
    <row r="30" spans="1:54">
      <c r="I30" s="351"/>
      <c r="J30" s="351"/>
    </row>
    <row r="31" spans="1:54">
      <c r="I31" s="351"/>
      <c r="J31" s="351"/>
    </row>
    <row r="32" spans="1:54">
      <c r="I32" s="351"/>
      <c r="J32" s="351"/>
    </row>
    <row r="33" spans="9:48">
      <c r="I33" s="351"/>
      <c r="AQ33" s="358" t="s">
        <v>44</v>
      </c>
      <c r="AR33" s="361"/>
      <c r="AS33" s="359" t="s">
        <v>45</v>
      </c>
      <c r="AT33" s="743">
        <f>22*AV33*AW67</f>
        <v>0</v>
      </c>
      <c r="AU33" s="815"/>
      <c r="AV33" s="359">
        <v>1</v>
      </c>
    </row>
    <row r="34" spans="9:48">
      <c r="I34" s="351"/>
      <c r="J34" s="351"/>
      <c r="AQ34" s="353" t="s">
        <v>46</v>
      </c>
      <c r="AR34" s="362"/>
      <c r="AS34" s="356" t="s">
        <v>47</v>
      </c>
      <c r="AT34" s="753">
        <f>12*AV34*AW67</f>
        <v>0</v>
      </c>
      <c r="AU34" s="804"/>
      <c r="AV34" s="356">
        <v>2</v>
      </c>
    </row>
    <row r="35" spans="9:48" ht="15" customHeight="1">
      <c r="I35" s="351"/>
      <c r="J35" s="351"/>
      <c r="AB35" s="11" t="s">
        <v>42</v>
      </c>
      <c r="AC35" s="22"/>
      <c r="AD35" s="294" t="s">
        <v>43</v>
      </c>
      <c r="AE35" s="743">
        <f>30*AG35*AH70</f>
        <v>0</v>
      </c>
      <c r="AF35" s="815"/>
      <c r="AG35" s="16">
        <v>1</v>
      </c>
      <c r="AQ35" s="353" t="s">
        <v>48</v>
      </c>
      <c r="AR35" s="362"/>
      <c r="AS35" s="356" t="s">
        <v>45</v>
      </c>
      <c r="AT35" s="753">
        <f>22*AV35*AW67</f>
        <v>0</v>
      </c>
      <c r="AU35" s="804"/>
      <c r="AV35" s="356">
        <v>1</v>
      </c>
    </row>
    <row r="36" spans="9:48">
      <c r="I36" s="351"/>
      <c r="AB36" s="2" t="s">
        <v>44</v>
      </c>
      <c r="AC36" s="23"/>
      <c r="AD36" s="9" t="s">
        <v>45</v>
      </c>
      <c r="AE36" s="753">
        <f>22*AG36*AH70</f>
        <v>0</v>
      </c>
      <c r="AF36" s="804"/>
      <c r="AG36" s="9">
        <v>1</v>
      </c>
      <c r="AH36" s="262"/>
      <c r="AI36" s="171"/>
      <c r="AQ36" s="353" t="s">
        <v>50</v>
      </c>
      <c r="AR36" s="362"/>
      <c r="AS36" s="356" t="s">
        <v>51</v>
      </c>
      <c r="AT36" s="753">
        <f>4*AV36*AW67</f>
        <v>0</v>
      </c>
      <c r="AU36" s="804"/>
      <c r="AV36" s="356">
        <v>3</v>
      </c>
    </row>
    <row r="37" spans="9:48">
      <c r="I37" s="351"/>
      <c r="J37" s="351"/>
      <c r="AB37" s="2" t="s">
        <v>46</v>
      </c>
      <c r="AC37" s="23"/>
      <c r="AD37" s="9" t="s">
        <v>47</v>
      </c>
      <c r="AE37" s="753">
        <f>12*AG37*AH70</f>
        <v>0</v>
      </c>
      <c r="AF37" s="804"/>
      <c r="AG37" s="9">
        <v>2</v>
      </c>
      <c r="AH37" s="262"/>
      <c r="AQ37" s="353" t="s">
        <v>52</v>
      </c>
      <c r="AR37" s="362"/>
      <c r="AS37" s="356" t="s">
        <v>47</v>
      </c>
      <c r="AT37" s="753">
        <f>12*AV37*AW67</f>
        <v>0</v>
      </c>
      <c r="AU37" s="804"/>
      <c r="AV37" s="356">
        <v>3</v>
      </c>
    </row>
    <row r="38" spans="9:48">
      <c r="I38" s="351"/>
      <c r="J38" s="351"/>
      <c r="AB38" s="2" t="s">
        <v>48</v>
      </c>
      <c r="AC38" s="23"/>
      <c r="AD38" s="9" t="s">
        <v>45</v>
      </c>
      <c r="AE38" s="753">
        <f>22*AG38*AH70</f>
        <v>0</v>
      </c>
      <c r="AF38" s="804"/>
      <c r="AG38" s="9">
        <v>1</v>
      </c>
      <c r="AH38" s="262"/>
      <c r="AQ38" s="353" t="s">
        <v>53</v>
      </c>
      <c r="AR38" s="362"/>
      <c r="AS38" s="356" t="s">
        <v>51</v>
      </c>
      <c r="AT38" s="753">
        <f>4*AV38*AW67</f>
        <v>0</v>
      </c>
      <c r="AU38" s="804"/>
      <c r="AV38" s="356">
        <v>3</v>
      </c>
    </row>
    <row r="39" spans="9:48">
      <c r="I39" s="351"/>
      <c r="AB39" s="2" t="s">
        <v>49</v>
      </c>
      <c r="AC39" s="23"/>
      <c r="AD39" s="9" t="s">
        <v>47</v>
      </c>
      <c r="AE39" s="753">
        <f>12*AG39*AH70</f>
        <v>0</v>
      </c>
      <c r="AF39" s="804"/>
      <c r="AG39" s="9">
        <v>2</v>
      </c>
      <c r="AH39" s="262"/>
      <c r="AQ39" s="353" t="s">
        <v>54</v>
      </c>
      <c r="AR39" s="362"/>
      <c r="AS39" s="356" t="s">
        <v>55</v>
      </c>
      <c r="AT39" s="753">
        <f>7*AV39*AW67</f>
        <v>0</v>
      </c>
      <c r="AU39" s="804"/>
      <c r="AV39" s="356">
        <v>1</v>
      </c>
    </row>
    <row r="40" spans="9:48">
      <c r="I40" s="351"/>
      <c r="J40" s="351"/>
      <c r="AB40" s="2" t="s">
        <v>50</v>
      </c>
      <c r="AC40" s="23"/>
      <c r="AD40" s="9" t="s">
        <v>51</v>
      </c>
      <c r="AE40" s="753">
        <f>4*AG40*AH70</f>
        <v>0</v>
      </c>
      <c r="AF40" s="804"/>
      <c r="AG40" s="9">
        <v>3</v>
      </c>
      <c r="AH40" s="262"/>
      <c r="AQ40" s="353" t="s">
        <v>56</v>
      </c>
      <c r="AR40" s="362"/>
      <c r="AS40" s="356" t="s">
        <v>51</v>
      </c>
      <c r="AT40" s="753">
        <f>4*AV40*AW67</f>
        <v>0</v>
      </c>
      <c r="AU40" s="804"/>
      <c r="AV40" s="356">
        <v>1</v>
      </c>
    </row>
    <row r="41" spans="9:48">
      <c r="I41" s="351"/>
      <c r="AB41" s="2" t="s">
        <v>52</v>
      </c>
      <c r="AC41" s="23"/>
      <c r="AD41" s="9" t="s">
        <v>47</v>
      </c>
      <c r="AE41" s="753">
        <f>12*AG41*AH70</f>
        <v>0</v>
      </c>
      <c r="AF41" s="804"/>
      <c r="AG41" s="9">
        <v>3</v>
      </c>
      <c r="AH41" s="262"/>
      <c r="AQ41" s="353" t="s">
        <v>57</v>
      </c>
      <c r="AR41" s="362"/>
      <c r="AS41" s="356" t="s">
        <v>55</v>
      </c>
      <c r="AT41" s="753">
        <f>7*AV41*AW67</f>
        <v>0</v>
      </c>
      <c r="AU41" s="804"/>
      <c r="AV41" s="356">
        <v>1</v>
      </c>
    </row>
    <row r="42" spans="9:48">
      <c r="I42" s="351"/>
      <c r="J42" s="351"/>
      <c r="AB42" s="2" t="s">
        <v>53</v>
      </c>
      <c r="AC42" s="23"/>
      <c r="AD42" s="9" t="s">
        <v>51</v>
      </c>
      <c r="AE42" s="753">
        <f>4*AG42*AH70</f>
        <v>0</v>
      </c>
      <c r="AF42" s="804"/>
      <c r="AG42" s="9">
        <v>3</v>
      </c>
      <c r="AQ42" s="353" t="s">
        <v>58</v>
      </c>
      <c r="AR42" s="362"/>
      <c r="AS42" s="356" t="s">
        <v>47</v>
      </c>
      <c r="AT42" s="753">
        <f>12*AV42*AW67</f>
        <v>0</v>
      </c>
      <c r="AU42" s="804"/>
      <c r="AV42" s="356">
        <v>1</v>
      </c>
    </row>
    <row r="43" spans="9:48">
      <c r="I43" s="351"/>
      <c r="J43" s="351"/>
      <c r="AB43" s="2" t="s">
        <v>54</v>
      </c>
      <c r="AC43" s="23"/>
      <c r="AD43" s="9" t="s">
        <v>55</v>
      </c>
      <c r="AE43" s="753">
        <f>7*AG43*AH70</f>
        <v>0</v>
      </c>
      <c r="AF43" s="804"/>
      <c r="AG43" s="9">
        <v>1</v>
      </c>
      <c r="AQ43" s="355" t="s">
        <v>59</v>
      </c>
      <c r="AR43" s="363"/>
      <c r="AS43" s="357" t="s">
        <v>55</v>
      </c>
      <c r="AT43" s="755">
        <f>7*AV43*AW67</f>
        <v>0</v>
      </c>
      <c r="AU43" s="805"/>
      <c r="AV43" s="357">
        <v>1</v>
      </c>
    </row>
    <row r="44" spans="9:48">
      <c r="I44" s="351"/>
      <c r="J44" s="351"/>
      <c r="AB44" s="2" t="s">
        <v>56</v>
      </c>
      <c r="AC44" s="23"/>
      <c r="AD44" s="9" t="s">
        <v>51</v>
      </c>
      <c r="AE44" s="753">
        <f>4*AG44*AH70</f>
        <v>0</v>
      </c>
      <c r="AF44" s="804"/>
      <c r="AG44" s="9">
        <v>2</v>
      </c>
      <c r="AQ44" s="352"/>
      <c r="AR44" s="352"/>
      <c r="AS44" s="374"/>
      <c r="AT44" s="200" t="s">
        <v>60</v>
      </c>
      <c r="AU44" s="365"/>
      <c r="AV44" s="201">
        <f>SUM(AV31:AV43)</f>
        <v>18</v>
      </c>
    </row>
    <row r="45" spans="9:48">
      <c r="I45" s="351"/>
      <c r="J45" s="351"/>
      <c r="AB45" s="2" t="s">
        <v>57</v>
      </c>
      <c r="AC45" s="23"/>
      <c r="AD45" s="9" t="s">
        <v>55</v>
      </c>
      <c r="AE45" s="753">
        <f>7*AG45*AH70</f>
        <v>0</v>
      </c>
      <c r="AF45" s="804"/>
      <c r="AG45" s="9">
        <v>2</v>
      </c>
    </row>
    <row r="46" spans="9:48" ht="15" customHeight="1">
      <c r="I46" s="351"/>
      <c r="J46" s="351"/>
      <c r="AB46" s="2" t="s">
        <v>58</v>
      </c>
      <c r="AC46" s="23"/>
      <c r="AD46" s="9" t="s">
        <v>47</v>
      </c>
      <c r="AE46" s="753">
        <f>12*AG46*AH70</f>
        <v>0</v>
      </c>
      <c r="AF46" s="804"/>
      <c r="AG46" s="9">
        <v>2</v>
      </c>
    </row>
    <row r="47" spans="9:48" ht="15" customHeight="1">
      <c r="I47" s="351"/>
      <c r="AB47" s="8" t="s">
        <v>59</v>
      </c>
      <c r="AC47" s="24"/>
      <c r="AD47" s="10" t="s">
        <v>55</v>
      </c>
      <c r="AE47" s="755">
        <f>7*AG47*AH70</f>
        <v>0</v>
      </c>
      <c r="AF47" s="805"/>
      <c r="AG47" s="10">
        <v>2</v>
      </c>
    </row>
    <row r="48" spans="9:48">
      <c r="I48" s="351"/>
      <c r="J48" s="351"/>
      <c r="AB48" s="1"/>
      <c r="AC48" s="1"/>
      <c r="AD48" s="110"/>
      <c r="AE48" s="25" t="s">
        <v>60</v>
      </c>
      <c r="AF48" s="28"/>
      <c r="AG48" s="29">
        <f>SUM(AG35:AG47)</f>
        <v>25</v>
      </c>
    </row>
    <row r="49" spans="9:10">
      <c r="I49" s="351"/>
      <c r="J49" s="351"/>
    </row>
    <row r="50" spans="9:10">
      <c r="I50" s="351"/>
      <c r="J50" s="351"/>
    </row>
    <row r="51" spans="9:10">
      <c r="I51" s="351"/>
      <c r="J51" s="351"/>
    </row>
    <row r="52" spans="9:10" ht="15" customHeight="1">
      <c r="I52" s="351"/>
      <c r="J52" s="351"/>
    </row>
    <row r="53" spans="9:10">
      <c r="I53" s="351"/>
      <c r="J53" s="351"/>
    </row>
    <row r="54" spans="9:10">
      <c r="I54" s="351"/>
      <c r="J54" s="351"/>
    </row>
    <row r="69" ht="15" customHeight="1"/>
    <row r="75" ht="15" customHeight="1"/>
    <row r="86" ht="15" customHeight="1"/>
  </sheetData>
  <mergeCells count="38">
    <mergeCell ref="AE45:AF45"/>
    <mergeCell ref="AE46:AF46"/>
    <mergeCell ref="AE3:AE4"/>
    <mergeCell ref="AD3:AD4"/>
    <mergeCell ref="AC3:AC5"/>
    <mergeCell ref="AB3:AB5"/>
    <mergeCell ref="AE47:AF47"/>
    <mergeCell ref="AE36:AF36"/>
    <mergeCell ref="AE37:AF37"/>
    <mergeCell ref="AE38:AF38"/>
    <mergeCell ref="AE39:AF39"/>
    <mergeCell ref="AE40:AF40"/>
    <mergeCell ref="AE43:AF43"/>
    <mergeCell ref="AE44:AF44"/>
    <mergeCell ref="AE42:AF42"/>
    <mergeCell ref="AT33:AU33"/>
    <mergeCell ref="AT34:AU34"/>
    <mergeCell ref="AN3:AN4"/>
    <mergeCell ref="AK3:AK5"/>
    <mergeCell ref="AI3:AJ4"/>
    <mergeCell ref="AH3:AH4"/>
    <mergeCell ref="AG3:AG4"/>
    <mergeCell ref="AF3:AF4"/>
    <mergeCell ref="O8:P8"/>
    <mergeCell ref="M8:N8"/>
    <mergeCell ref="K8:L8"/>
    <mergeCell ref="K6:P6"/>
    <mergeCell ref="AE35:AF35"/>
    <mergeCell ref="AE41:AF41"/>
    <mergeCell ref="AT35:AU35"/>
    <mergeCell ref="AT36:AU36"/>
    <mergeCell ref="AT37:AU37"/>
    <mergeCell ref="AT43:AU43"/>
    <mergeCell ref="AT38:AU38"/>
    <mergeCell ref="AT39:AU39"/>
    <mergeCell ref="AT40:AU40"/>
    <mergeCell ref="AT41:AU41"/>
    <mergeCell ref="AT42:AU42"/>
  </mergeCell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5"/>
  <sheetViews>
    <sheetView workbookViewId="0">
      <selection sqref="A1:A2"/>
    </sheetView>
  </sheetViews>
  <sheetFormatPr defaultRowHeight="15"/>
  <cols>
    <col min="1" max="1" width="10.42578125" style="418" bestFit="1" customWidth="1"/>
    <col min="2" max="16384" width="9.140625" style="418"/>
  </cols>
  <sheetData>
    <row r="1" spans="1:7" ht="15" customHeight="1">
      <c r="A1" s="820" t="s">
        <v>335</v>
      </c>
      <c r="B1" s="820" t="s">
        <v>334</v>
      </c>
      <c r="C1" s="821" t="s">
        <v>333</v>
      </c>
      <c r="D1" s="821"/>
      <c r="E1" s="821" t="s">
        <v>332</v>
      </c>
      <c r="F1" s="821"/>
      <c r="G1"/>
    </row>
    <row r="2" spans="1:7">
      <c r="A2" s="820"/>
      <c r="B2" s="820"/>
      <c r="C2" s="455" t="s">
        <v>331</v>
      </c>
      <c r="D2" s="455" t="s">
        <v>330</v>
      </c>
      <c r="E2" s="455" t="s">
        <v>331</v>
      </c>
      <c r="F2" s="455" t="s">
        <v>330</v>
      </c>
      <c r="G2"/>
    </row>
    <row r="3" spans="1:7">
      <c r="A3" s="282">
        <v>41974</v>
      </c>
      <c r="B3" s="281" t="s">
        <v>329</v>
      </c>
      <c r="C3" s="281">
        <v>3.2023000000000001</v>
      </c>
      <c r="D3" s="281">
        <v>3.2035</v>
      </c>
      <c r="E3" s="281">
        <v>1.25</v>
      </c>
      <c r="F3" s="281">
        <v>1.2502</v>
      </c>
      <c r="G3"/>
    </row>
    <row r="4" spans="1:7">
      <c r="A4" s="280">
        <v>41975</v>
      </c>
      <c r="B4" s="279" t="s">
        <v>329</v>
      </c>
      <c r="C4" s="279">
        <v>3.1821000000000002</v>
      </c>
      <c r="D4" s="279">
        <v>3.1836000000000002</v>
      </c>
      <c r="E4" s="279">
        <v>1.2402</v>
      </c>
      <c r="F4" s="279">
        <v>1.2404999999999999</v>
      </c>
      <c r="G4"/>
    </row>
    <row r="5" spans="1:7">
      <c r="A5" s="282">
        <v>41976</v>
      </c>
      <c r="B5" s="281" t="s">
        <v>329</v>
      </c>
      <c r="C5" s="281">
        <v>3.1520000000000001</v>
      </c>
      <c r="D5" s="281">
        <v>3.1537999999999999</v>
      </c>
      <c r="E5" s="281">
        <v>1.2312000000000001</v>
      </c>
      <c r="F5" s="281">
        <v>1.2316</v>
      </c>
      <c r="G5"/>
    </row>
    <row r="6" spans="1:7">
      <c r="A6" s="280">
        <v>41977</v>
      </c>
      <c r="B6" s="279" t="s">
        <v>329</v>
      </c>
      <c r="C6" s="279">
        <v>3.1976</v>
      </c>
      <c r="D6" s="279">
        <v>3.1985999999999999</v>
      </c>
      <c r="E6" s="279">
        <v>1.2398</v>
      </c>
      <c r="F6" s="279">
        <v>1.2399</v>
      </c>
      <c r="G6"/>
    </row>
    <row r="7" spans="1:7">
      <c r="A7" s="282">
        <v>41978</v>
      </c>
      <c r="B7" s="281" t="s">
        <v>329</v>
      </c>
      <c r="C7" s="281">
        <v>3.1775000000000002</v>
      </c>
      <c r="D7" s="281">
        <v>3.1785000000000001</v>
      </c>
      <c r="E7" s="281">
        <v>1.2277</v>
      </c>
      <c r="F7" s="281">
        <v>1.2278</v>
      </c>
      <c r="G7"/>
    </row>
    <row r="8" spans="1:7">
      <c r="A8" s="280">
        <v>41981</v>
      </c>
      <c r="B8" s="279" t="s">
        <v>329</v>
      </c>
      <c r="C8" s="279">
        <v>3.1818</v>
      </c>
      <c r="D8" s="279">
        <v>3.1827999999999999</v>
      </c>
      <c r="E8" s="279">
        <v>1.2277</v>
      </c>
      <c r="F8" s="279">
        <v>1.2278</v>
      </c>
      <c r="G8"/>
    </row>
    <row r="9" spans="1:7">
      <c r="A9" s="282">
        <v>41982</v>
      </c>
      <c r="B9" s="281" t="s">
        <v>329</v>
      </c>
      <c r="C9" s="281">
        <v>3.2233999999999998</v>
      </c>
      <c r="D9" s="281">
        <v>3.2244000000000002</v>
      </c>
      <c r="E9" s="281">
        <v>1.2393000000000001</v>
      </c>
      <c r="F9" s="281">
        <v>1.2394000000000001</v>
      </c>
      <c r="G9"/>
    </row>
    <row r="10" spans="1:7">
      <c r="A10" s="280">
        <v>41983</v>
      </c>
      <c r="B10" s="279" t="s">
        <v>329</v>
      </c>
      <c r="C10" s="279">
        <v>3.2183000000000002</v>
      </c>
      <c r="D10" s="279">
        <v>3.2193000000000001</v>
      </c>
      <c r="E10" s="279">
        <v>1.2414000000000001</v>
      </c>
      <c r="F10" s="279">
        <v>1.2415</v>
      </c>
      <c r="G10"/>
    </row>
    <row r="11" spans="1:7">
      <c r="A11" s="282">
        <v>41984</v>
      </c>
      <c r="B11" s="281" t="s">
        <v>329</v>
      </c>
      <c r="C11" s="281">
        <v>3.2547999999999999</v>
      </c>
      <c r="D11" s="281">
        <v>3.2566000000000002</v>
      </c>
      <c r="E11" s="281">
        <v>1.2392000000000001</v>
      </c>
      <c r="F11" s="281">
        <v>1.2396</v>
      </c>
      <c r="G11"/>
    </row>
    <row r="12" spans="1:7">
      <c r="A12" s="280">
        <v>41985</v>
      </c>
      <c r="B12" s="279" t="s">
        <v>329</v>
      </c>
      <c r="C12" s="279">
        <v>3.3039000000000001</v>
      </c>
      <c r="D12" s="279">
        <v>3.3048999999999999</v>
      </c>
      <c r="E12" s="279">
        <v>1.2443</v>
      </c>
      <c r="F12" s="279">
        <v>1.2444</v>
      </c>
      <c r="G12"/>
    </row>
    <row r="13" spans="1:7">
      <c r="A13" s="282">
        <v>41988</v>
      </c>
      <c r="B13" s="281" t="s">
        <v>329</v>
      </c>
      <c r="C13" s="281">
        <v>3.3201999999999998</v>
      </c>
      <c r="D13" s="281">
        <v>3.3212000000000002</v>
      </c>
      <c r="E13" s="281">
        <v>1.2430000000000001</v>
      </c>
      <c r="F13" s="281">
        <v>1.2431000000000001</v>
      </c>
      <c r="G13"/>
    </row>
    <row r="14" spans="1:7">
      <c r="A14" s="280">
        <v>41989</v>
      </c>
      <c r="B14" s="279" t="s">
        <v>329</v>
      </c>
      <c r="C14" s="279">
        <v>3.4308999999999998</v>
      </c>
      <c r="D14" s="279">
        <v>3.4319999999999999</v>
      </c>
      <c r="E14" s="279">
        <v>1.2523</v>
      </c>
      <c r="F14" s="279">
        <v>1.2524</v>
      </c>
      <c r="G14"/>
    </row>
    <row r="15" spans="1:7">
      <c r="A15" s="282">
        <v>41990</v>
      </c>
      <c r="B15" s="281" t="s">
        <v>329</v>
      </c>
      <c r="C15" s="281">
        <v>3.3906000000000001</v>
      </c>
      <c r="D15" s="281">
        <v>3.3921000000000001</v>
      </c>
      <c r="E15" s="281">
        <v>1.2446999999999999</v>
      </c>
      <c r="F15" s="281">
        <v>1.2450000000000001</v>
      </c>
      <c r="G15"/>
    </row>
    <row r="16" spans="1:7">
      <c r="A16" s="280">
        <v>41991</v>
      </c>
      <c r="B16" s="279" t="s">
        <v>329</v>
      </c>
      <c r="C16" s="279">
        <v>3.2757999999999998</v>
      </c>
      <c r="D16" s="279">
        <v>3.2768999999999999</v>
      </c>
      <c r="E16" s="279">
        <v>1.2282999999999999</v>
      </c>
      <c r="F16" s="279">
        <v>1.2283999999999999</v>
      </c>
      <c r="G16"/>
    </row>
    <row r="17" spans="1:7">
      <c r="A17" s="282">
        <v>41992</v>
      </c>
      <c r="B17" s="281" t="s">
        <v>329</v>
      </c>
      <c r="C17" s="281">
        <v>3.2532999999999999</v>
      </c>
      <c r="D17" s="281">
        <v>3.2549000000000001</v>
      </c>
      <c r="E17" s="281">
        <v>1.2285999999999999</v>
      </c>
      <c r="F17" s="281">
        <v>1.2289000000000001</v>
      </c>
      <c r="G17"/>
    </row>
    <row r="18" spans="1:7">
      <c r="A18" s="280">
        <v>41995</v>
      </c>
      <c r="B18" s="279" t="s">
        <v>329</v>
      </c>
      <c r="C18" s="279">
        <v>3.2503000000000002</v>
      </c>
      <c r="D18" s="279">
        <v>3.2513999999999998</v>
      </c>
      <c r="E18" s="279">
        <v>1.2256</v>
      </c>
      <c r="F18" s="279">
        <v>1.2257</v>
      </c>
      <c r="G18"/>
    </row>
    <row r="19" spans="1:7">
      <c r="A19" s="282">
        <v>41996</v>
      </c>
      <c r="B19" s="281" t="s">
        <v>329</v>
      </c>
      <c r="C19" s="281">
        <v>3.2572999999999999</v>
      </c>
      <c r="D19" s="281">
        <v>3.2585000000000002</v>
      </c>
      <c r="E19" s="281">
        <v>1.2168000000000001</v>
      </c>
      <c r="F19" s="281">
        <v>1.2170000000000001</v>
      </c>
      <c r="G19"/>
    </row>
    <row r="20" spans="1:7">
      <c r="A20" s="280">
        <v>41997</v>
      </c>
      <c r="B20" s="279" t="s">
        <v>329</v>
      </c>
      <c r="C20" s="279">
        <v>3.2726000000000002</v>
      </c>
      <c r="D20" s="279">
        <v>3.274</v>
      </c>
      <c r="E20" s="279">
        <v>1.2201</v>
      </c>
      <c r="F20" s="279">
        <v>1.2202</v>
      </c>
      <c r="G20"/>
    </row>
    <row r="21" spans="1:7">
      <c r="A21" s="282">
        <v>41999</v>
      </c>
      <c r="B21" s="281" t="s">
        <v>329</v>
      </c>
      <c r="C21" s="281">
        <v>3.2625999999999999</v>
      </c>
      <c r="D21" s="281">
        <v>3.2635999999999998</v>
      </c>
      <c r="E21" s="281">
        <v>1.2171000000000001</v>
      </c>
      <c r="F21" s="281">
        <v>1.2172000000000001</v>
      </c>
      <c r="G21"/>
    </row>
    <row r="22" spans="1:7">
      <c r="A22" s="280">
        <v>42002</v>
      </c>
      <c r="B22" s="279" t="s">
        <v>329</v>
      </c>
      <c r="C22" s="279">
        <v>3.2637999999999998</v>
      </c>
      <c r="D22" s="279">
        <v>3.2654000000000001</v>
      </c>
      <c r="E22" s="279">
        <v>1.2189000000000001</v>
      </c>
      <c r="F22" s="279">
        <v>1.2192000000000001</v>
      </c>
      <c r="G22"/>
    </row>
    <row r="23" spans="1:7">
      <c r="A23" s="282">
        <v>42003</v>
      </c>
      <c r="B23" s="281" t="s">
        <v>329</v>
      </c>
      <c r="C23" s="281">
        <v>3.2319</v>
      </c>
      <c r="D23" s="281">
        <v>3.2328999999999999</v>
      </c>
      <c r="E23" s="281">
        <v>1.2170000000000001</v>
      </c>
      <c r="F23" s="281">
        <v>1.2171000000000001</v>
      </c>
      <c r="G23"/>
    </row>
    <row r="24" spans="1:7">
      <c r="A24" s="280">
        <v>42004</v>
      </c>
      <c r="B24" s="279" t="s">
        <v>329</v>
      </c>
      <c r="C24" s="279">
        <v>3.2258</v>
      </c>
      <c r="D24" s="279">
        <v>3.2269999999999999</v>
      </c>
      <c r="E24" s="279">
        <v>1.2146999999999999</v>
      </c>
      <c r="F24" s="279">
        <v>1.2149000000000001</v>
      </c>
      <c r="G24"/>
    </row>
    <row r="25" spans="1:7">
      <c r="A25" s="819" t="s">
        <v>408</v>
      </c>
      <c r="B25" s="819"/>
      <c r="C25" s="819"/>
      <c r="D25" s="819"/>
      <c r="E25" s="819"/>
      <c r="F25" s="819"/>
      <c r="G25" s="819"/>
    </row>
    <row r="26" spans="1:7">
      <c r="A26" s="416"/>
      <c r="B26" s="417"/>
      <c r="C26" s="417"/>
      <c r="D26" s="417"/>
      <c r="E26" s="417"/>
      <c r="F26" s="417"/>
    </row>
    <row r="27" spans="1:7">
      <c r="A27" s="416"/>
      <c r="B27" s="417"/>
      <c r="C27" s="417"/>
      <c r="D27" s="417"/>
      <c r="E27" s="417"/>
      <c r="F27" s="417"/>
    </row>
    <row r="28" spans="1:7">
      <c r="A28" s="416"/>
      <c r="B28" s="417"/>
      <c r="C28" s="417"/>
      <c r="D28" s="417"/>
      <c r="E28" s="417"/>
      <c r="F28" s="417"/>
    </row>
    <row r="29" spans="1:7">
      <c r="A29" s="416"/>
      <c r="B29" s="417"/>
      <c r="C29" s="417"/>
      <c r="D29" s="417"/>
      <c r="E29" s="417"/>
      <c r="F29" s="417"/>
    </row>
    <row r="30" spans="1:7">
      <c r="A30" s="416"/>
      <c r="B30" s="417"/>
      <c r="C30" s="417"/>
      <c r="D30" s="417"/>
      <c r="E30" s="417"/>
      <c r="F30" s="417"/>
    </row>
    <row r="31" spans="1:7">
      <c r="A31" s="416"/>
      <c r="B31" s="417"/>
      <c r="C31" s="417"/>
      <c r="D31" s="417"/>
      <c r="E31" s="417"/>
      <c r="F31" s="417"/>
    </row>
    <row r="32" spans="1:7">
      <c r="A32" s="416"/>
      <c r="B32" s="417"/>
      <c r="C32" s="417"/>
      <c r="D32" s="417"/>
      <c r="E32" s="417"/>
      <c r="F32" s="417"/>
    </row>
    <row r="33" spans="1:6">
      <c r="A33" s="416"/>
      <c r="B33" s="417"/>
      <c r="C33" s="417"/>
      <c r="D33" s="417"/>
      <c r="E33" s="417"/>
      <c r="F33" s="417"/>
    </row>
    <row r="34" spans="1:6">
      <c r="A34" s="416"/>
      <c r="B34" s="417"/>
      <c r="C34" s="417"/>
      <c r="D34" s="417"/>
      <c r="E34" s="417"/>
      <c r="F34" s="417"/>
    </row>
    <row r="35" spans="1:6">
      <c r="A35" s="416"/>
      <c r="B35" s="417"/>
      <c r="C35" s="417"/>
      <c r="D35" s="417"/>
      <c r="E35" s="417"/>
      <c r="F35" s="417"/>
    </row>
    <row r="36" spans="1:6">
      <c r="A36" s="416"/>
      <c r="B36" s="417"/>
      <c r="C36" s="417"/>
      <c r="D36" s="417"/>
      <c r="E36" s="417"/>
      <c r="F36" s="417"/>
    </row>
    <row r="37" spans="1:6">
      <c r="A37" s="416"/>
      <c r="B37" s="417"/>
      <c r="C37" s="417"/>
      <c r="D37" s="417"/>
      <c r="E37" s="417"/>
      <c r="F37" s="417"/>
    </row>
    <row r="38" spans="1:6">
      <c r="A38" s="416"/>
      <c r="B38" s="417"/>
      <c r="C38" s="417"/>
      <c r="D38" s="417"/>
      <c r="E38" s="417"/>
      <c r="F38" s="417"/>
    </row>
    <row r="39" spans="1:6">
      <c r="A39" s="416"/>
      <c r="B39" s="417"/>
      <c r="C39" s="417"/>
      <c r="D39" s="417"/>
      <c r="E39" s="417"/>
      <c r="F39" s="417"/>
    </row>
    <row r="40" spans="1:6">
      <c r="A40" s="416"/>
      <c r="B40" s="417"/>
      <c r="C40" s="417"/>
      <c r="D40" s="417"/>
      <c r="E40" s="417"/>
      <c r="F40" s="417"/>
    </row>
    <row r="41" spans="1:6">
      <c r="A41" s="416"/>
      <c r="B41" s="417"/>
      <c r="C41" s="417"/>
      <c r="D41" s="417"/>
      <c r="E41" s="417"/>
      <c r="F41" s="417"/>
    </row>
    <row r="42" spans="1:6">
      <c r="A42" s="416"/>
      <c r="B42" s="417"/>
      <c r="C42" s="417"/>
      <c r="D42" s="417"/>
      <c r="E42" s="417"/>
      <c r="F42" s="417"/>
    </row>
    <row r="43" spans="1:6">
      <c r="A43" s="416"/>
      <c r="B43" s="417"/>
      <c r="C43" s="417"/>
      <c r="D43" s="417"/>
      <c r="E43" s="417"/>
      <c r="F43" s="417"/>
    </row>
    <row r="44" spans="1:6">
      <c r="A44" s="416"/>
      <c r="B44" s="417"/>
      <c r="C44" s="417"/>
      <c r="D44" s="417"/>
      <c r="E44" s="417"/>
      <c r="F44" s="417"/>
    </row>
    <row r="45" spans="1:6">
      <c r="A45" s="416"/>
      <c r="B45" s="417"/>
      <c r="C45" s="417"/>
      <c r="D45" s="417"/>
      <c r="E45" s="417"/>
      <c r="F45" s="417"/>
    </row>
    <row r="46" spans="1:6">
      <c r="A46" s="416"/>
      <c r="B46" s="417"/>
      <c r="C46" s="417"/>
      <c r="D46" s="417"/>
      <c r="E46" s="417"/>
      <c r="F46" s="417"/>
    </row>
    <row r="47" spans="1:6">
      <c r="A47" s="416"/>
      <c r="B47" s="417"/>
      <c r="C47" s="417"/>
      <c r="D47" s="417"/>
      <c r="E47" s="417"/>
      <c r="F47" s="417"/>
    </row>
    <row r="48" spans="1:6">
      <c r="A48" s="416"/>
      <c r="B48" s="417"/>
      <c r="C48" s="417"/>
      <c r="D48" s="417"/>
      <c r="E48" s="417"/>
      <c r="F48" s="417"/>
    </row>
    <row r="49" spans="1:6">
      <c r="A49" s="416"/>
      <c r="B49" s="417"/>
      <c r="C49" s="417"/>
      <c r="D49" s="417"/>
      <c r="E49" s="417"/>
      <c r="F49" s="417"/>
    </row>
    <row r="50" spans="1:6">
      <c r="A50" s="416"/>
      <c r="B50" s="417"/>
      <c r="C50" s="417"/>
      <c r="D50" s="417"/>
      <c r="E50" s="417"/>
      <c r="F50" s="417"/>
    </row>
    <row r="51" spans="1:6">
      <c r="A51" s="416"/>
      <c r="B51" s="417"/>
      <c r="C51" s="417"/>
      <c r="D51" s="417"/>
      <c r="E51" s="417"/>
      <c r="F51" s="417"/>
    </row>
    <row r="52" spans="1:6">
      <c r="A52" s="416"/>
      <c r="B52" s="417"/>
      <c r="C52" s="417"/>
      <c r="D52" s="417"/>
      <c r="E52" s="417"/>
      <c r="F52" s="417"/>
    </row>
    <row r="53" spans="1:6">
      <c r="A53" s="416"/>
      <c r="B53" s="417"/>
      <c r="C53" s="417"/>
      <c r="D53" s="417"/>
      <c r="E53" s="417"/>
      <c r="F53" s="417"/>
    </row>
    <row r="54" spans="1:6">
      <c r="A54" s="416"/>
      <c r="B54" s="417"/>
      <c r="C54" s="417"/>
      <c r="D54" s="417"/>
      <c r="E54" s="417"/>
      <c r="F54" s="417"/>
    </row>
    <row r="55" spans="1:6">
      <c r="A55" s="416"/>
      <c r="B55" s="417"/>
      <c r="C55" s="417"/>
      <c r="D55" s="417"/>
      <c r="E55" s="417"/>
      <c r="F55" s="417"/>
    </row>
    <row r="56" spans="1:6">
      <c r="A56" s="416"/>
      <c r="B56" s="417"/>
      <c r="C56" s="417"/>
      <c r="D56" s="417"/>
      <c r="E56" s="417"/>
      <c r="F56" s="417"/>
    </row>
    <row r="57" spans="1:6">
      <c r="A57" s="416"/>
      <c r="B57" s="417"/>
      <c r="C57" s="417"/>
      <c r="D57" s="417"/>
      <c r="E57" s="417"/>
      <c r="F57" s="417"/>
    </row>
    <row r="58" spans="1:6">
      <c r="A58" s="416"/>
      <c r="B58" s="417"/>
      <c r="C58" s="417"/>
      <c r="D58" s="417"/>
      <c r="E58" s="417"/>
      <c r="F58" s="417"/>
    </row>
    <row r="59" spans="1:6">
      <c r="A59" s="416"/>
      <c r="B59" s="417"/>
      <c r="C59" s="417"/>
      <c r="D59" s="417"/>
      <c r="E59" s="417"/>
      <c r="F59" s="417"/>
    </row>
    <row r="60" spans="1:6">
      <c r="A60" s="416"/>
      <c r="B60" s="417"/>
      <c r="C60" s="417"/>
      <c r="D60" s="417"/>
      <c r="E60" s="417"/>
      <c r="F60" s="417"/>
    </row>
    <row r="61" spans="1:6">
      <c r="A61" s="416"/>
      <c r="B61" s="417"/>
      <c r="C61" s="417"/>
      <c r="D61" s="417"/>
      <c r="E61" s="417"/>
      <c r="F61" s="417"/>
    </row>
    <row r="62" spans="1:6">
      <c r="A62" s="416"/>
      <c r="B62" s="417"/>
      <c r="C62" s="417"/>
      <c r="D62" s="417"/>
      <c r="E62" s="417"/>
      <c r="F62" s="417"/>
    </row>
    <row r="63" spans="1:6">
      <c r="A63" s="416"/>
      <c r="B63" s="417"/>
      <c r="C63" s="417"/>
      <c r="D63" s="417"/>
      <c r="E63" s="417"/>
      <c r="F63" s="417"/>
    </row>
    <row r="64" spans="1:6">
      <c r="A64" s="416"/>
      <c r="B64" s="417"/>
      <c r="C64" s="417"/>
      <c r="D64" s="417"/>
      <c r="E64" s="417"/>
      <c r="F64" s="417"/>
    </row>
    <row r="65" spans="1:6">
      <c r="A65" s="416"/>
      <c r="B65" s="417"/>
      <c r="C65" s="417"/>
      <c r="D65" s="417"/>
      <c r="E65" s="417"/>
      <c r="F65" s="417"/>
    </row>
  </sheetData>
  <mergeCells count="5">
    <mergeCell ref="A25:G25"/>
    <mergeCell ref="A1:A2"/>
    <mergeCell ref="B1:B2"/>
    <mergeCell ref="C1:D1"/>
    <mergeCell ref="E1:F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5"/>
  <sheetViews>
    <sheetView workbookViewId="0">
      <selection sqref="A1:A2"/>
    </sheetView>
  </sheetViews>
  <sheetFormatPr defaultRowHeight="15"/>
  <cols>
    <col min="1" max="1" width="10.42578125" style="415" bestFit="1" customWidth="1"/>
    <col min="2" max="16384" width="9.140625" style="415"/>
  </cols>
  <sheetData>
    <row r="1" spans="1:4" ht="21.75" customHeight="1">
      <c r="A1" s="820" t="s">
        <v>335</v>
      </c>
      <c r="B1" s="820" t="s">
        <v>334</v>
      </c>
      <c r="C1" s="821" t="s">
        <v>337</v>
      </c>
      <c r="D1" s="821"/>
    </row>
    <row r="2" spans="1:4">
      <c r="A2" s="820"/>
      <c r="B2" s="820"/>
      <c r="C2" s="455" t="s">
        <v>331</v>
      </c>
      <c r="D2" s="455" t="s">
        <v>330</v>
      </c>
    </row>
    <row r="3" spans="1:4">
      <c r="A3" s="282">
        <v>41974</v>
      </c>
      <c r="B3" s="281" t="s">
        <v>336</v>
      </c>
      <c r="C3" s="281">
        <v>2.5617999999999999</v>
      </c>
      <c r="D3" s="281">
        <v>2.5623999999999998</v>
      </c>
    </row>
    <row r="4" spans="1:4">
      <c r="A4" s="280">
        <v>41975</v>
      </c>
      <c r="B4" s="279" t="s">
        <v>336</v>
      </c>
      <c r="C4" s="279">
        <v>2.5657999999999999</v>
      </c>
      <c r="D4" s="279">
        <v>2.5663999999999998</v>
      </c>
    </row>
    <row r="5" spans="1:4">
      <c r="A5" s="282">
        <v>41976</v>
      </c>
      <c r="B5" s="281" t="s">
        <v>336</v>
      </c>
      <c r="C5" s="281">
        <v>2.5600999999999998</v>
      </c>
      <c r="D5" s="281">
        <v>2.5607000000000002</v>
      </c>
    </row>
    <row r="6" spans="1:4">
      <c r="A6" s="280">
        <v>41977</v>
      </c>
      <c r="B6" s="279" t="s">
        <v>336</v>
      </c>
      <c r="C6" s="279">
        <v>2.5790999999999999</v>
      </c>
      <c r="D6" s="279">
        <v>2.5796999999999999</v>
      </c>
    </row>
    <row r="7" spans="1:4">
      <c r="A7" s="282">
        <v>41978</v>
      </c>
      <c r="B7" s="281" t="s">
        <v>336</v>
      </c>
      <c r="C7" s="281">
        <v>2.5882000000000001</v>
      </c>
      <c r="D7" s="281">
        <v>2.5888</v>
      </c>
    </row>
    <row r="8" spans="1:4">
      <c r="A8" s="280">
        <v>41981</v>
      </c>
      <c r="B8" s="279" t="s">
        <v>336</v>
      </c>
      <c r="C8" s="279">
        <v>2.5916999999999999</v>
      </c>
      <c r="D8" s="279">
        <v>2.5922999999999998</v>
      </c>
    </row>
    <row r="9" spans="1:4">
      <c r="A9" s="282">
        <v>41982</v>
      </c>
      <c r="B9" s="281" t="s">
        <v>336</v>
      </c>
      <c r="C9" s="281">
        <v>2.601</v>
      </c>
      <c r="D9" s="281">
        <v>2.6015999999999999</v>
      </c>
    </row>
    <row r="10" spans="1:4">
      <c r="A10" s="280">
        <v>41983</v>
      </c>
      <c r="B10" s="279" t="s">
        <v>336</v>
      </c>
      <c r="C10" s="279">
        <v>2.5924999999999998</v>
      </c>
      <c r="D10" s="279">
        <v>2.5931000000000002</v>
      </c>
    </row>
    <row r="11" spans="1:4">
      <c r="A11" s="282">
        <v>41984</v>
      </c>
      <c r="B11" s="281" t="s">
        <v>336</v>
      </c>
      <c r="C11" s="281">
        <v>2.6265000000000001</v>
      </c>
      <c r="D11" s="281">
        <v>2.6271</v>
      </c>
    </row>
    <row r="12" spans="1:4">
      <c r="A12" s="280">
        <v>41985</v>
      </c>
      <c r="B12" s="279" t="s">
        <v>336</v>
      </c>
      <c r="C12" s="279">
        <v>2.6551999999999998</v>
      </c>
      <c r="D12" s="279">
        <v>2.6558000000000002</v>
      </c>
    </row>
    <row r="13" spans="1:4">
      <c r="A13" s="282">
        <v>41988</v>
      </c>
      <c r="B13" s="281" t="s">
        <v>336</v>
      </c>
      <c r="C13" s="281">
        <v>2.6711</v>
      </c>
      <c r="D13" s="281">
        <v>2.6717</v>
      </c>
    </row>
    <row r="14" spans="1:4">
      <c r="A14" s="280">
        <v>41989</v>
      </c>
      <c r="B14" s="279" t="s">
        <v>336</v>
      </c>
      <c r="C14" s="279">
        <v>2.7397</v>
      </c>
      <c r="D14" s="279">
        <v>2.7403</v>
      </c>
    </row>
    <row r="15" spans="1:4">
      <c r="A15" s="282">
        <v>41990</v>
      </c>
      <c r="B15" s="281" t="s">
        <v>336</v>
      </c>
      <c r="C15" s="281">
        <v>2.7240000000000002</v>
      </c>
      <c r="D15" s="281">
        <v>2.7246000000000001</v>
      </c>
    </row>
    <row r="16" spans="1:4">
      <c r="A16" s="280">
        <v>41991</v>
      </c>
      <c r="B16" s="279" t="s">
        <v>336</v>
      </c>
      <c r="C16" s="279">
        <v>2.6669</v>
      </c>
      <c r="D16" s="279">
        <v>2.6676000000000002</v>
      </c>
    </row>
    <row r="17" spans="1:4">
      <c r="A17" s="282">
        <v>41992</v>
      </c>
      <c r="B17" s="281" t="s">
        <v>336</v>
      </c>
      <c r="C17" s="281">
        <v>2.6480000000000001</v>
      </c>
      <c r="D17" s="281">
        <v>2.6486000000000001</v>
      </c>
    </row>
    <row r="18" spans="1:4">
      <c r="A18" s="280">
        <v>41995</v>
      </c>
      <c r="B18" s="279" t="s">
        <v>336</v>
      </c>
      <c r="C18" s="279">
        <v>2.6520000000000001</v>
      </c>
      <c r="D18" s="279">
        <v>2.6526999999999998</v>
      </c>
    </row>
    <row r="19" spans="1:4">
      <c r="A19" s="282">
        <v>41996</v>
      </c>
      <c r="B19" s="281" t="s">
        <v>336</v>
      </c>
      <c r="C19" s="281">
        <v>2.6768999999999998</v>
      </c>
      <c r="D19" s="281">
        <v>2.6775000000000002</v>
      </c>
    </row>
    <row r="20" spans="1:4">
      <c r="A20" s="280">
        <v>41997</v>
      </c>
      <c r="B20" s="279" t="s">
        <v>336</v>
      </c>
      <c r="C20" s="279">
        <v>2.6821999999999999</v>
      </c>
      <c r="D20" s="279">
        <v>2.6831999999999998</v>
      </c>
    </row>
    <row r="21" spans="1:4">
      <c r="A21" s="282">
        <v>41999</v>
      </c>
      <c r="B21" s="281" t="s">
        <v>336</v>
      </c>
      <c r="C21" s="281">
        <v>2.6806000000000001</v>
      </c>
      <c r="D21" s="281">
        <v>2.6812</v>
      </c>
    </row>
    <row r="22" spans="1:4">
      <c r="A22" s="280">
        <v>42002</v>
      </c>
      <c r="B22" s="279" t="s">
        <v>336</v>
      </c>
      <c r="C22" s="279">
        <v>2.6777000000000002</v>
      </c>
      <c r="D22" s="279">
        <v>2.6783000000000001</v>
      </c>
    </row>
    <row r="23" spans="1:4">
      <c r="A23" s="282">
        <v>42003</v>
      </c>
      <c r="B23" s="281" t="s">
        <v>336</v>
      </c>
      <c r="C23" s="281">
        <v>2.6556000000000002</v>
      </c>
      <c r="D23" s="281">
        <v>2.6562000000000001</v>
      </c>
    </row>
    <row r="24" spans="1:4">
      <c r="A24" s="280">
        <v>42004</v>
      </c>
      <c r="B24" s="279" t="s">
        <v>336</v>
      </c>
      <c r="C24" s="279">
        <v>2.6556000000000002</v>
      </c>
      <c r="D24" s="279">
        <v>2.6562000000000001</v>
      </c>
    </row>
    <row r="25" spans="1:4">
      <c r="A25" s="416"/>
      <c r="B25" s="417"/>
      <c r="C25" s="417"/>
      <c r="D25" s="417"/>
    </row>
    <row r="26" spans="1:4">
      <c r="A26" s="416"/>
      <c r="B26" s="417"/>
      <c r="C26" s="417"/>
      <c r="D26" s="417"/>
    </row>
    <row r="27" spans="1:4">
      <c r="A27" s="416"/>
      <c r="B27" s="417"/>
      <c r="C27" s="417"/>
      <c r="D27" s="417"/>
    </row>
    <row r="28" spans="1:4">
      <c r="A28" s="416"/>
      <c r="B28" s="417"/>
      <c r="C28" s="417"/>
      <c r="D28" s="417"/>
    </row>
    <row r="29" spans="1:4">
      <c r="A29" s="416"/>
      <c r="B29" s="417"/>
      <c r="C29" s="417"/>
      <c r="D29" s="417"/>
    </row>
    <row r="30" spans="1:4">
      <c r="A30" s="416"/>
      <c r="B30" s="417"/>
      <c r="C30" s="417"/>
      <c r="D30" s="417"/>
    </row>
    <row r="31" spans="1:4">
      <c r="A31" s="416"/>
      <c r="B31" s="417"/>
      <c r="C31" s="417"/>
      <c r="D31" s="417"/>
    </row>
    <row r="32" spans="1:4">
      <c r="A32" s="416"/>
      <c r="B32" s="417"/>
      <c r="C32" s="417"/>
      <c r="D32" s="417"/>
    </row>
    <row r="33" spans="1:4">
      <c r="A33" s="416"/>
      <c r="B33" s="417"/>
      <c r="C33" s="417"/>
      <c r="D33" s="417"/>
    </row>
    <row r="34" spans="1:4">
      <c r="A34" s="416"/>
      <c r="B34" s="417"/>
      <c r="C34" s="417"/>
      <c r="D34" s="417"/>
    </row>
    <row r="35" spans="1:4">
      <c r="A35" s="416"/>
      <c r="B35" s="417"/>
      <c r="C35" s="417"/>
      <c r="D35" s="417"/>
    </row>
    <row r="36" spans="1:4">
      <c r="A36" s="416"/>
      <c r="B36" s="417"/>
      <c r="C36" s="417"/>
      <c r="D36" s="417"/>
    </row>
    <row r="37" spans="1:4">
      <c r="A37" s="416"/>
      <c r="B37" s="417"/>
      <c r="C37" s="417"/>
      <c r="D37" s="417"/>
    </row>
    <row r="38" spans="1:4">
      <c r="A38" s="416"/>
      <c r="B38" s="417"/>
      <c r="C38" s="417"/>
      <c r="D38" s="417"/>
    </row>
    <row r="39" spans="1:4">
      <c r="A39" s="416"/>
      <c r="B39" s="417"/>
      <c r="C39" s="417"/>
      <c r="D39" s="417"/>
    </row>
    <row r="40" spans="1:4">
      <c r="A40" s="416"/>
      <c r="B40" s="417"/>
      <c r="C40" s="417"/>
      <c r="D40" s="417"/>
    </row>
    <row r="41" spans="1:4">
      <c r="A41" s="416"/>
      <c r="B41" s="417"/>
      <c r="C41" s="417"/>
      <c r="D41" s="417"/>
    </row>
    <row r="42" spans="1:4">
      <c r="A42" s="416"/>
      <c r="B42" s="417"/>
      <c r="C42" s="417"/>
      <c r="D42" s="417"/>
    </row>
    <row r="43" spans="1:4">
      <c r="A43" s="416"/>
      <c r="B43" s="417"/>
      <c r="C43" s="417"/>
      <c r="D43" s="417"/>
    </row>
    <row r="44" spans="1:4">
      <c r="A44" s="416"/>
      <c r="B44" s="417"/>
      <c r="C44" s="417"/>
      <c r="D44" s="417"/>
    </row>
    <row r="45" spans="1:4">
      <c r="A45" s="416"/>
      <c r="B45" s="417"/>
      <c r="C45" s="417"/>
      <c r="D45" s="417"/>
    </row>
    <row r="46" spans="1:4">
      <c r="A46" s="416"/>
      <c r="B46" s="417"/>
      <c r="C46" s="417"/>
      <c r="D46" s="417"/>
    </row>
    <row r="47" spans="1:4">
      <c r="A47" s="416"/>
      <c r="B47" s="417"/>
      <c r="C47" s="417"/>
      <c r="D47" s="417"/>
    </row>
    <row r="48" spans="1:4">
      <c r="A48" s="416"/>
      <c r="B48" s="417"/>
      <c r="C48" s="417"/>
      <c r="D48" s="417"/>
    </row>
    <row r="49" spans="1:4">
      <c r="A49" s="416"/>
      <c r="B49" s="417"/>
      <c r="C49" s="417"/>
      <c r="D49" s="417"/>
    </row>
    <row r="50" spans="1:4">
      <c r="A50" s="416"/>
      <c r="B50" s="417"/>
      <c r="C50" s="417"/>
      <c r="D50" s="417"/>
    </row>
    <row r="51" spans="1:4">
      <c r="A51" s="416"/>
      <c r="B51" s="417"/>
      <c r="C51" s="417"/>
      <c r="D51" s="417"/>
    </row>
    <row r="52" spans="1:4">
      <c r="A52" s="416"/>
      <c r="B52" s="417"/>
      <c r="C52" s="417"/>
      <c r="D52" s="417"/>
    </row>
    <row r="53" spans="1:4">
      <c r="A53" s="416"/>
      <c r="B53" s="417"/>
      <c r="C53" s="417"/>
      <c r="D53" s="417"/>
    </row>
    <row r="54" spans="1:4">
      <c r="A54" s="416"/>
      <c r="B54" s="417"/>
      <c r="C54" s="417"/>
      <c r="D54" s="417"/>
    </row>
    <row r="55" spans="1:4">
      <c r="A55" s="416"/>
      <c r="B55" s="417"/>
      <c r="C55" s="417"/>
      <c r="D55" s="417"/>
    </row>
    <row r="56" spans="1:4">
      <c r="A56" s="416"/>
      <c r="B56" s="417"/>
      <c r="C56" s="417"/>
      <c r="D56" s="417"/>
    </row>
    <row r="57" spans="1:4">
      <c r="A57" s="416"/>
      <c r="B57" s="417"/>
      <c r="C57" s="417"/>
      <c r="D57" s="417"/>
    </row>
    <row r="58" spans="1:4">
      <c r="A58" s="416"/>
      <c r="B58" s="417"/>
      <c r="C58" s="417"/>
      <c r="D58" s="417"/>
    </row>
    <row r="59" spans="1:4">
      <c r="A59" s="416"/>
      <c r="B59" s="417"/>
      <c r="C59" s="417"/>
      <c r="D59" s="417"/>
    </row>
    <row r="60" spans="1:4">
      <c r="A60" s="416"/>
      <c r="B60" s="417"/>
      <c r="C60" s="417"/>
      <c r="D60" s="417"/>
    </row>
    <row r="61" spans="1:4">
      <c r="A61" s="416"/>
      <c r="B61" s="417"/>
      <c r="C61" s="417"/>
      <c r="D61" s="417"/>
    </row>
    <row r="62" spans="1:4">
      <c r="A62" s="416"/>
      <c r="B62" s="417"/>
      <c r="C62" s="417"/>
      <c r="D62" s="417"/>
    </row>
    <row r="63" spans="1:4">
      <c r="A63" s="416"/>
      <c r="B63" s="417"/>
      <c r="C63" s="417"/>
      <c r="D63" s="417"/>
    </row>
    <row r="64" spans="1:4">
      <c r="A64" s="416"/>
      <c r="B64" s="417"/>
      <c r="C64" s="417"/>
      <c r="D64" s="417"/>
    </row>
    <row r="65" spans="1:4">
      <c r="A65" s="416"/>
      <c r="B65" s="417"/>
      <c r="C65" s="417"/>
      <c r="D65" s="417"/>
    </row>
  </sheetData>
  <mergeCells count="3">
    <mergeCell ref="A1:A2"/>
    <mergeCell ref="B1:B2"/>
    <mergeCell ref="C1:D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V56"/>
  <sheetViews>
    <sheetView zoomScale="85" zoomScaleNormal="85" workbookViewId="0"/>
  </sheetViews>
  <sheetFormatPr defaultRowHeight="15"/>
  <cols>
    <col min="1" max="1" width="33.42578125" style="351" customWidth="1"/>
    <col min="2" max="2" width="9.42578125" style="351" customWidth="1"/>
    <col min="3" max="3" width="9" style="351" customWidth="1"/>
    <col min="4" max="4" width="13.42578125" style="351" customWidth="1"/>
    <col min="5" max="5" width="14.140625" style="351" customWidth="1"/>
    <col min="6" max="6" width="12" style="351" customWidth="1"/>
    <col min="7" max="7" width="15" style="351" customWidth="1"/>
    <col min="8" max="8" width="11.7109375" style="351" customWidth="1"/>
    <col min="9" max="9" width="12.140625" style="351" customWidth="1"/>
    <col min="10" max="10" width="12.140625" style="351" bestFit="1" customWidth="1"/>
    <col min="11" max="11" width="18.140625" style="351" customWidth="1"/>
    <col min="12" max="12" width="17.28515625" style="351" customWidth="1"/>
    <col min="13" max="13" width="13.42578125" style="351" customWidth="1"/>
    <col min="14" max="14" width="30.140625" style="351" customWidth="1"/>
    <col min="15" max="15" width="12" style="351" customWidth="1"/>
    <col min="16" max="16" width="18.28515625" style="351" customWidth="1"/>
    <col min="17" max="17" width="18.5703125" style="351" bestFit="1" customWidth="1"/>
    <col min="18" max="20" width="9.140625" style="351"/>
    <col min="21" max="21" width="18" style="351" customWidth="1"/>
    <col min="22" max="22" width="16.5703125" style="351" customWidth="1"/>
    <col min="23" max="23" width="17.85546875" style="351" customWidth="1"/>
    <col min="24" max="16384" width="9.140625" style="351"/>
  </cols>
  <sheetData>
    <row r="2" spans="1:256">
      <c r="L2" s="466"/>
      <c r="M2" s="466"/>
      <c r="N2" s="466"/>
      <c r="O2" s="822" t="s">
        <v>443</v>
      </c>
      <c r="P2" s="822"/>
      <c r="Q2" s="822"/>
      <c r="R2" s="466"/>
      <c r="S2" s="466"/>
      <c r="T2" s="466"/>
      <c r="U2" s="822" t="s">
        <v>444</v>
      </c>
      <c r="V2" s="822"/>
      <c r="W2" s="822"/>
    </row>
    <row r="3" spans="1:256" ht="51" customHeight="1">
      <c r="A3" s="467"/>
      <c r="B3" s="468" t="s">
        <v>445</v>
      </c>
      <c r="C3" s="468" t="s">
        <v>446</v>
      </c>
      <c r="D3" s="468" t="s">
        <v>447</v>
      </c>
      <c r="E3" s="468" t="s">
        <v>448</v>
      </c>
      <c r="F3" s="468" t="s">
        <v>426</v>
      </c>
      <c r="G3" s="469" t="s">
        <v>427</v>
      </c>
      <c r="H3" s="468" t="s">
        <v>428</v>
      </c>
      <c r="I3" s="468" t="s">
        <v>429</v>
      </c>
      <c r="J3" s="468" t="s">
        <v>430</v>
      </c>
      <c r="K3" s="468" t="s">
        <v>431</v>
      </c>
      <c r="L3" s="470" t="s">
        <v>449</v>
      </c>
      <c r="M3" s="468" t="s">
        <v>450</v>
      </c>
      <c r="N3" s="466"/>
      <c r="O3" s="472" t="s">
        <v>451</v>
      </c>
      <c r="P3" s="468" t="s">
        <v>446</v>
      </c>
      <c r="Q3" s="468" t="s">
        <v>452</v>
      </c>
      <c r="R3" s="466"/>
      <c r="S3" s="466"/>
      <c r="T3" s="466"/>
      <c r="U3" s="471"/>
      <c r="V3" s="496" t="s">
        <v>432</v>
      </c>
      <c r="W3" s="472" t="s">
        <v>433</v>
      </c>
    </row>
    <row r="4" spans="1:256">
      <c r="A4" s="473" t="s">
        <v>343</v>
      </c>
      <c r="B4" s="474">
        <f>CPU!H394</f>
        <v>110.23450612752526</v>
      </c>
      <c r="C4" s="475">
        <f>CPU!H398</f>
        <v>6.3909944323643364</v>
      </c>
      <c r="D4" s="475">
        <f>CPU!H402</f>
        <v>8.4118670640772759</v>
      </c>
      <c r="E4" s="475">
        <f>SUM(B4:D4)</f>
        <v>125.03736762396687</v>
      </c>
      <c r="F4" s="475">
        <f>MAX($E$29,$E$30)</f>
        <v>270.12871784063572</v>
      </c>
      <c r="G4" s="693">
        <f>H4</f>
        <v>1955491</v>
      </c>
      <c r="H4" s="475">
        <f>G18</f>
        <v>1955491</v>
      </c>
      <c r="I4" s="475">
        <f>H4/12/30</f>
        <v>5431.9194444444447</v>
      </c>
      <c r="J4" s="476">
        <v>2</v>
      </c>
      <c r="K4" s="475">
        <f>I4*F4/J4</f>
        <v>733658.71747069806</v>
      </c>
      <c r="L4" s="477">
        <f>I4*(B4+P4)</f>
        <v>633500.32420933084</v>
      </c>
      <c r="M4" s="475">
        <f>I4*Q4</f>
        <v>833817.1107320654</v>
      </c>
      <c r="N4" s="497"/>
      <c r="O4" s="475">
        <v>125.03736762396687</v>
      </c>
      <c r="P4" s="477">
        <v>6.3909944323643346</v>
      </c>
      <c r="Q4" s="475">
        <f>F4-B4-C4</f>
        <v>153.50321728074613</v>
      </c>
      <c r="R4" s="420"/>
      <c r="U4" s="473" t="s">
        <v>343</v>
      </c>
      <c r="V4" s="475">
        <f>K4*J4</f>
        <v>1467317.4349413961</v>
      </c>
      <c r="W4" s="491">
        <f>G18/12*F4/30</f>
        <v>1467317.4349413961</v>
      </c>
      <c r="X4" s="419"/>
      <c r="Y4" s="419"/>
    </row>
    <row r="5" spans="1:256">
      <c r="A5" s="498" t="s">
        <v>441</v>
      </c>
      <c r="B5" s="478">
        <f>CPU!H519</f>
        <v>83.564631647964035</v>
      </c>
      <c r="C5" s="479">
        <f>CPU!H523</f>
        <v>8.1435785824545253</v>
      </c>
      <c r="D5" s="479">
        <f>CPU!H527</f>
        <v>15.843526122629441</v>
      </c>
      <c r="E5" s="479">
        <f>SUM(B5:D5)</f>
        <v>107.551736353048</v>
      </c>
      <c r="F5" s="479">
        <f>MAX($E$29,$E$30)</f>
        <v>270.12871784063572</v>
      </c>
      <c r="G5" s="491">
        <f>H5</f>
        <v>2210000</v>
      </c>
      <c r="H5" s="479">
        <f>(G19)</f>
        <v>2210000</v>
      </c>
      <c r="I5" s="479">
        <f>H5/12/30</f>
        <v>6138.8888888888887</v>
      </c>
      <c r="J5" s="480">
        <v>2</v>
      </c>
      <c r="K5" s="479">
        <f>I5*F5/J5</f>
        <v>829145.09226084012</v>
      </c>
      <c r="L5" s="481">
        <f>I5*(B5+P5)</f>
        <v>562986.51280340285</v>
      </c>
      <c r="M5" s="479">
        <f>I5*Q5</f>
        <v>1095303.6717182775</v>
      </c>
      <c r="N5" s="466"/>
      <c r="O5" s="479">
        <v>107.551736353048</v>
      </c>
      <c r="P5" s="481">
        <v>8.143578582454527</v>
      </c>
      <c r="Q5" s="479">
        <f>F5-B5-C5</f>
        <v>178.42050761021716</v>
      </c>
      <c r="R5" s="420"/>
      <c r="T5" s="466"/>
      <c r="U5" s="498" t="s">
        <v>345</v>
      </c>
      <c r="V5" s="479">
        <f>K5*J5</f>
        <v>1658290.1845216802</v>
      </c>
      <c r="W5" s="491">
        <f>G19/12*F5/30</f>
        <v>1658290.1845216802</v>
      </c>
      <c r="X5" s="419"/>
      <c r="Y5" s="419"/>
    </row>
    <row r="6" spans="1:256">
      <c r="A6" s="473" t="s">
        <v>346</v>
      </c>
      <c r="B6" s="474">
        <f>CPU!H619</f>
        <v>34.805192205276612</v>
      </c>
      <c r="C6" s="475">
        <f>CPU!H623</f>
        <v>0.35592408943554887</v>
      </c>
      <c r="D6" s="475">
        <f>CPU!H627</f>
        <v>2.3784975689086649</v>
      </c>
      <c r="E6" s="475">
        <f>SUM(B6:D6)</f>
        <v>37.539613863620822</v>
      </c>
      <c r="F6" s="475">
        <f>MAX($E$29,$E$30)</f>
        <v>270.12871784063572</v>
      </c>
      <c r="G6" s="491">
        <f>H6</f>
        <v>198090.13986815879</v>
      </c>
      <c r="H6" s="475">
        <f>G20</f>
        <v>198090.13986815879</v>
      </c>
      <c r="I6" s="475">
        <f>H6/12/30</f>
        <v>550.25038852266334</v>
      </c>
      <c r="J6" s="476">
        <v>2</v>
      </c>
      <c r="K6" s="475">
        <f>I6*F6/J6</f>
        <v>74319.215971469355</v>
      </c>
      <c r="L6" s="477">
        <f>I6*(B6+P6)</f>
        <v>19347.417902055913</v>
      </c>
      <c r="M6" s="475">
        <f>I6*Q6</f>
        <v>129291.01404088279</v>
      </c>
      <c r="N6" s="466"/>
      <c r="O6" s="475">
        <v>37.539613863620822</v>
      </c>
      <c r="P6" s="477">
        <v>0.35592408943554887</v>
      </c>
      <c r="Q6" s="475">
        <f>F6-B6-C6</f>
        <v>234.96760154592354</v>
      </c>
      <c r="R6" s="420"/>
      <c r="T6" s="466"/>
      <c r="U6" s="473" t="s">
        <v>346</v>
      </c>
      <c r="V6" s="475">
        <f>K6*J6</f>
        <v>148638.43194293871</v>
      </c>
      <c r="W6" s="495">
        <f>G20/12*F6/30</f>
        <v>148638.43194293871</v>
      </c>
      <c r="X6" s="419"/>
      <c r="Y6" s="419"/>
    </row>
    <row r="7" spans="1:256">
      <c r="A7" s="498" t="s">
        <v>347</v>
      </c>
      <c r="B7" s="478">
        <f>CPU!H1160</f>
        <v>141.50003355465367</v>
      </c>
      <c r="C7" s="479">
        <f>CPU!H1164</f>
        <v>6.9936714052205255</v>
      </c>
      <c r="D7" s="479">
        <f>CPU!H1168</f>
        <v>5.7286961200656998</v>
      </c>
      <c r="E7" s="479">
        <f>SUM(B7:D7)</f>
        <v>154.22240107993991</v>
      </c>
      <c r="F7" s="479">
        <f>MAX($E$29,$E$30)</f>
        <v>270.12871784063572</v>
      </c>
      <c r="G7" s="491">
        <f>H7</f>
        <v>16909.860131841273</v>
      </c>
      <c r="H7" s="479">
        <f>G21</f>
        <v>16909.860131841273</v>
      </c>
      <c r="I7" s="479">
        <f>H7/12/30</f>
        <v>46.971833699559092</v>
      </c>
      <c r="J7" s="480">
        <v>1</v>
      </c>
      <c r="K7" s="479">
        <f>I7*F7/J7</f>
        <v>12688.441211885462</v>
      </c>
      <c r="L7" s="481">
        <f>I7*(B7+P7)</f>
        <v>6975.0216148066047</v>
      </c>
      <c r="M7" s="479">
        <f>I7*Q7</f>
        <v>5713.4195970788578</v>
      </c>
      <c r="N7" s="466"/>
      <c r="O7" s="479">
        <v>154.22240107993991</v>
      </c>
      <c r="P7" s="481">
        <v>6.9936714052205247</v>
      </c>
      <c r="Q7" s="709">
        <f>F7-B7-C7</f>
        <v>121.63501288076152</v>
      </c>
      <c r="R7" s="420"/>
      <c r="T7" s="466"/>
      <c r="U7" s="498" t="s">
        <v>347</v>
      </c>
      <c r="V7" s="479">
        <f>K7*J7</f>
        <v>12688.441211885462</v>
      </c>
      <c r="W7" s="491">
        <f>G21/12*F7/30</f>
        <v>12688.441211885462</v>
      </c>
      <c r="X7" s="419"/>
      <c r="Y7" s="419"/>
    </row>
    <row r="8" spans="1:256">
      <c r="A8" s="707"/>
      <c r="B8" s="485"/>
      <c r="C8" s="485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5"/>
      <c r="Q8" s="710"/>
      <c r="R8" s="420"/>
      <c r="S8" s="466"/>
      <c r="T8" s="466"/>
      <c r="X8" s="419"/>
      <c r="Y8" s="419"/>
    </row>
    <row r="9" spans="1:256" s="473" customFormat="1" ht="15" customHeight="1">
      <c r="A9" s="490"/>
      <c r="B9" s="482"/>
      <c r="C9" s="482"/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482"/>
      <c r="P9" s="708"/>
      <c r="Q9" s="708"/>
      <c r="R9" s="482"/>
      <c r="S9" s="482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1"/>
      <c r="BG9" s="351"/>
      <c r="BH9" s="351"/>
      <c r="BI9" s="351"/>
      <c r="BJ9" s="351"/>
      <c r="BK9" s="351"/>
      <c r="BL9" s="351"/>
      <c r="BM9" s="351"/>
      <c r="BN9" s="351"/>
      <c r="BO9" s="351"/>
      <c r="BP9" s="351"/>
      <c r="BQ9" s="351"/>
      <c r="BR9" s="351"/>
      <c r="BS9" s="351"/>
      <c r="BT9" s="351"/>
      <c r="BU9" s="351"/>
      <c r="BV9" s="351"/>
      <c r="BW9" s="351"/>
      <c r="BX9" s="351"/>
      <c r="BY9" s="351"/>
      <c r="BZ9" s="351"/>
      <c r="CA9" s="351"/>
      <c r="CB9" s="351"/>
      <c r="CC9" s="351"/>
      <c r="CD9" s="351"/>
      <c r="CE9" s="351"/>
      <c r="CF9" s="351"/>
      <c r="CG9" s="351"/>
      <c r="CH9" s="351"/>
      <c r="CI9" s="351"/>
      <c r="CJ9" s="351"/>
      <c r="CK9" s="351"/>
      <c r="CL9" s="351"/>
      <c r="CM9" s="351"/>
      <c r="CN9" s="351"/>
      <c r="CO9" s="351"/>
      <c r="CP9" s="351"/>
      <c r="CQ9" s="351"/>
      <c r="CR9" s="351"/>
      <c r="CS9" s="351"/>
      <c r="CT9" s="351"/>
      <c r="CU9" s="351"/>
      <c r="CV9" s="351"/>
      <c r="CW9" s="351"/>
      <c r="CX9" s="351"/>
      <c r="CY9" s="351"/>
      <c r="CZ9" s="351"/>
      <c r="DA9" s="351"/>
      <c r="DB9" s="351"/>
      <c r="DC9" s="351"/>
      <c r="DD9" s="351"/>
      <c r="DE9" s="351"/>
      <c r="DF9" s="351"/>
      <c r="DG9" s="351"/>
      <c r="DH9" s="351"/>
      <c r="DI9" s="351"/>
      <c r="DJ9" s="351"/>
      <c r="DK9" s="351"/>
      <c r="DL9" s="351"/>
      <c r="DM9" s="351"/>
      <c r="DN9" s="351"/>
      <c r="DO9" s="351"/>
      <c r="DP9" s="351"/>
      <c r="DQ9" s="351"/>
      <c r="DR9" s="351"/>
      <c r="DS9" s="351"/>
      <c r="DT9" s="351"/>
      <c r="DU9" s="351"/>
      <c r="DV9" s="351"/>
      <c r="DW9" s="351"/>
      <c r="DX9" s="351"/>
      <c r="DY9" s="351"/>
      <c r="DZ9" s="351"/>
      <c r="EA9" s="351"/>
      <c r="EB9" s="351"/>
      <c r="EC9" s="351"/>
      <c r="ED9" s="351"/>
      <c r="EE9" s="351"/>
      <c r="EF9" s="351"/>
      <c r="EG9" s="351"/>
      <c r="EH9" s="351"/>
      <c r="EI9" s="351"/>
      <c r="EJ9" s="351"/>
      <c r="EK9" s="351"/>
      <c r="EL9" s="351"/>
      <c r="EM9" s="351"/>
      <c r="EN9" s="351"/>
      <c r="EO9" s="351"/>
      <c r="EP9" s="351"/>
      <c r="EQ9" s="351"/>
      <c r="ER9" s="351"/>
      <c r="ES9" s="351"/>
      <c r="ET9" s="351"/>
      <c r="EU9" s="351"/>
      <c r="EV9" s="351"/>
      <c r="EW9" s="351"/>
      <c r="EX9" s="351"/>
      <c r="EY9" s="351"/>
      <c r="EZ9" s="351"/>
      <c r="FA9" s="351"/>
      <c r="FB9" s="351"/>
      <c r="FC9" s="351"/>
      <c r="FD9" s="351"/>
      <c r="FE9" s="351"/>
      <c r="FF9" s="351"/>
      <c r="FG9" s="351"/>
      <c r="FH9" s="351"/>
      <c r="FI9" s="351"/>
      <c r="FJ9" s="351"/>
      <c r="FK9" s="351"/>
      <c r="FL9" s="351"/>
      <c r="FM9" s="351"/>
      <c r="FN9" s="351"/>
      <c r="FO9" s="351"/>
      <c r="FP9" s="351"/>
      <c r="FQ9" s="351"/>
      <c r="FR9" s="351"/>
      <c r="FS9" s="351"/>
      <c r="FT9" s="351"/>
      <c r="FU9" s="351"/>
      <c r="FV9" s="351"/>
      <c r="FW9" s="351"/>
      <c r="FX9" s="351"/>
      <c r="FY9" s="351"/>
      <c r="FZ9" s="351"/>
      <c r="GA9" s="351"/>
      <c r="GB9" s="351"/>
      <c r="GC9" s="351"/>
      <c r="GD9" s="351"/>
      <c r="GE9" s="351"/>
      <c r="GF9" s="351"/>
      <c r="GG9" s="351"/>
      <c r="GH9" s="351"/>
      <c r="GI9" s="351"/>
      <c r="GJ9" s="351"/>
      <c r="GK9" s="351"/>
      <c r="GL9" s="351"/>
      <c r="GM9" s="351"/>
      <c r="GN9" s="351"/>
      <c r="GO9" s="351"/>
      <c r="GP9" s="351"/>
      <c r="GQ9" s="351"/>
      <c r="GR9" s="351"/>
      <c r="GS9" s="351"/>
      <c r="GT9" s="351"/>
      <c r="GU9" s="351"/>
      <c r="GV9" s="351"/>
      <c r="GW9" s="351"/>
      <c r="GX9" s="351"/>
      <c r="GY9" s="351"/>
      <c r="GZ9" s="351"/>
      <c r="HA9" s="351"/>
      <c r="HB9" s="351"/>
      <c r="HC9" s="351"/>
      <c r="HD9" s="351"/>
      <c r="HE9" s="351"/>
      <c r="HF9" s="351"/>
      <c r="HG9" s="351"/>
      <c r="HH9" s="351"/>
      <c r="HI9" s="351"/>
      <c r="HJ9" s="351"/>
      <c r="HK9" s="351"/>
      <c r="HL9" s="351"/>
      <c r="HM9" s="351"/>
      <c r="HN9" s="351"/>
      <c r="HO9" s="351"/>
      <c r="HP9" s="351"/>
      <c r="HQ9" s="351"/>
      <c r="HR9" s="351"/>
      <c r="HS9" s="351"/>
      <c r="HT9" s="351"/>
      <c r="HU9" s="351"/>
      <c r="HV9" s="351"/>
      <c r="HW9" s="351"/>
      <c r="HX9" s="351"/>
      <c r="HY9" s="351"/>
      <c r="HZ9" s="351"/>
      <c r="IA9" s="351"/>
      <c r="IB9" s="351"/>
      <c r="IC9" s="351"/>
      <c r="ID9" s="351"/>
      <c r="IE9" s="351"/>
      <c r="IF9" s="351"/>
      <c r="IG9" s="351"/>
      <c r="IH9" s="351"/>
      <c r="II9" s="351"/>
      <c r="IJ9" s="351"/>
      <c r="IK9" s="351"/>
      <c r="IL9" s="351"/>
      <c r="IM9" s="351"/>
      <c r="IN9" s="351"/>
      <c r="IO9" s="351"/>
      <c r="IP9" s="351"/>
      <c r="IQ9" s="351"/>
      <c r="IR9" s="351"/>
      <c r="IS9" s="351"/>
      <c r="IT9" s="351"/>
      <c r="IU9" s="351"/>
      <c r="IV9" s="351"/>
    </row>
    <row r="10" spans="1:256" s="473" customFormat="1" ht="15" customHeight="1">
      <c r="A10" s="490"/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708"/>
      <c r="Q10" s="708"/>
      <c r="R10" s="482"/>
      <c r="S10" s="482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  <c r="BB10" s="351"/>
      <c r="BC10" s="351"/>
      <c r="BD10" s="351"/>
      <c r="BE10" s="351"/>
      <c r="BF10" s="351"/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351"/>
      <c r="BR10" s="351"/>
      <c r="BS10" s="351"/>
      <c r="BT10" s="351"/>
      <c r="BU10" s="351"/>
      <c r="BV10" s="351"/>
      <c r="BW10" s="351"/>
      <c r="BX10" s="351"/>
      <c r="BY10" s="351"/>
      <c r="BZ10" s="351"/>
      <c r="CA10" s="351"/>
      <c r="CB10" s="351"/>
      <c r="CC10" s="351"/>
      <c r="CD10" s="351"/>
      <c r="CE10" s="351"/>
      <c r="CF10" s="351"/>
      <c r="CG10" s="351"/>
      <c r="CH10" s="351"/>
      <c r="CI10" s="351"/>
      <c r="CJ10" s="351"/>
      <c r="CK10" s="351"/>
      <c r="CL10" s="351"/>
      <c r="CM10" s="351"/>
      <c r="CN10" s="351"/>
      <c r="CO10" s="351"/>
      <c r="CP10" s="351"/>
      <c r="CQ10" s="351"/>
      <c r="CR10" s="351"/>
      <c r="CS10" s="351"/>
      <c r="CT10" s="351"/>
      <c r="CU10" s="351"/>
      <c r="CV10" s="351"/>
      <c r="CW10" s="351"/>
      <c r="CX10" s="351"/>
      <c r="CY10" s="351"/>
      <c r="CZ10" s="351"/>
      <c r="DA10" s="351"/>
      <c r="DB10" s="351"/>
      <c r="DC10" s="351"/>
      <c r="DD10" s="351"/>
      <c r="DE10" s="351"/>
      <c r="DF10" s="351"/>
      <c r="DG10" s="351"/>
      <c r="DH10" s="351"/>
      <c r="DI10" s="351"/>
      <c r="DJ10" s="351"/>
      <c r="DK10" s="351"/>
      <c r="DL10" s="351"/>
      <c r="DM10" s="351"/>
      <c r="DN10" s="351"/>
      <c r="DO10" s="351"/>
      <c r="DP10" s="351"/>
      <c r="DQ10" s="351"/>
      <c r="DR10" s="351"/>
      <c r="DS10" s="351"/>
      <c r="DT10" s="351"/>
      <c r="DU10" s="351"/>
      <c r="DV10" s="351"/>
      <c r="DW10" s="351"/>
      <c r="DX10" s="351"/>
      <c r="DY10" s="351"/>
      <c r="DZ10" s="351"/>
      <c r="EA10" s="351"/>
      <c r="EB10" s="351"/>
      <c r="EC10" s="351"/>
      <c r="ED10" s="351"/>
      <c r="EE10" s="351"/>
      <c r="EF10" s="351"/>
      <c r="EG10" s="351"/>
      <c r="EH10" s="351"/>
      <c r="EI10" s="351"/>
      <c r="EJ10" s="351"/>
      <c r="EK10" s="351"/>
      <c r="EL10" s="351"/>
      <c r="EM10" s="351"/>
      <c r="EN10" s="351"/>
      <c r="EO10" s="351"/>
      <c r="EP10" s="351"/>
      <c r="EQ10" s="351"/>
      <c r="ER10" s="351"/>
      <c r="ES10" s="351"/>
      <c r="ET10" s="351"/>
      <c r="EU10" s="351"/>
      <c r="EV10" s="351"/>
      <c r="EW10" s="351"/>
      <c r="EX10" s="351"/>
      <c r="EY10" s="351"/>
      <c r="EZ10" s="351"/>
      <c r="FA10" s="351"/>
      <c r="FB10" s="351"/>
      <c r="FC10" s="351"/>
      <c r="FD10" s="351"/>
      <c r="FE10" s="351"/>
      <c r="FF10" s="351"/>
      <c r="FG10" s="351"/>
      <c r="FH10" s="351"/>
      <c r="FI10" s="351"/>
      <c r="FJ10" s="351"/>
      <c r="FK10" s="351"/>
      <c r="FL10" s="351"/>
      <c r="FM10" s="351"/>
      <c r="FN10" s="351"/>
      <c r="FO10" s="351"/>
      <c r="FP10" s="351"/>
      <c r="FQ10" s="351"/>
      <c r="FR10" s="351"/>
      <c r="FS10" s="351"/>
      <c r="FT10" s="351"/>
      <c r="FU10" s="351"/>
      <c r="FV10" s="351"/>
      <c r="FW10" s="351"/>
      <c r="FX10" s="351"/>
      <c r="FY10" s="351"/>
      <c r="FZ10" s="351"/>
      <c r="GA10" s="351"/>
      <c r="GB10" s="351"/>
      <c r="GC10" s="351"/>
      <c r="GD10" s="351"/>
      <c r="GE10" s="351"/>
      <c r="GF10" s="351"/>
      <c r="GG10" s="351"/>
      <c r="GH10" s="351"/>
      <c r="GI10" s="351"/>
      <c r="GJ10" s="351"/>
      <c r="GK10" s="351"/>
      <c r="GL10" s="351"/>
      <c r="GM10" s="351"/>
      <c r="GN10" s="351"/>
      <c r="GO10" s="351"/>
      <c r="GP10" s="351"/>
      <c r="GQ10" s="351"/>
      <c r="GR10" s="351"/>
      <c r="GS10" s="351"/>
      <c r="GT10" s="351"/>
      <c r="GU10" s="351"/>
      <c r="GV10" s="351"/>
      <c r="GW10" s="351"/>
      <c r="GX10" s="351"/>
      <c r="GY10" s="351"/>
      <c r="GZ10" s="351"/>
      <c r="HA10" s="351"/>
      <c r="HB10" s="351"/>
      <c r="HC10" s="351"/>
      <c r="HD10" s="351"/>
      <c r="HE10" s="351"/>
      <c r="HF10" s="351"/>
      <c r="HG10" s="351"/>
      <c r="HH10" s="351"/>
      <c r="HI10" s="351"/>
      <c r="HJ10" s="351"/>
      <c r="HK10" s="351"/>
      <c r="HL10" s="351"/>
      <c r="HM10" s="351"/>
      <c r="HN10" s="351"/>
      <c r="HO10" s="351"/>
      <c r="HP10" s="351"/>
      <c r="HQ10" s="351"/>
      <c r="HR10" s="351"/>
      <c r="HS10" s="351"/>
      <c r="HT10" s="351"/>
      <c r="HU10" s="351"/>
      <c r="HV10" s="351"/>
      <c r="HW10" s="351"/>
      <c r="HX10" s="351"/>
      <c r="HY10" s="351"/>
      <c r="HZ10" s="351"/>
      <c r="IA10" s="351"/>
      <c r="IB10" s="351"/>
      <c r="IC10" s="351"/>
      <c r="ID10" s="351"/>
      <c r="IE10" s="351"/>
      <c r="IF10" s="351"/>
      <c r="IG10" s="351"/>
      <c r="IH10" s="351"/>
      <c r="II10" s="351"/>
      <c r="IJ10" s="351"/>
      <c r="IK10" s="351"/>
      <c r="IL10" s="351"/>
      <c r="IM10" s="351"/>
      <c r="IN10" s="351"/>
      <c r="IO10" s="351"/>
      <c r="IP10" s="351"/>
      <c r="IQ10" s="351"/>
      <c r="IR10" s="351"/>
      <c r="IS10" s="351"/>
      <c r="IT10" s="351"/>
      <c r="IU10" s="351"/>
      <c r="IV10" s="351"/>
    </row>
    <row r="11" spans="1:256" s="473" customFormat="1" ht="15" customHeight="1">
      <c r="A11" s="490"/>
      <c r="B11" s="482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708"/>
      <c r="Q11" s="708"/>
      <c r="R11" s="482"/>
      <c r="S11" s="482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  <c r="BI11" s="351"/>
      <c r="BJ11" s="351"/>
      <c r="BK11" s="351"/>
      <c r="BL11" s="351"/>
      <c r="BM11" s="351"/>
      <c r="BN11" s="351"/>
      <c r="BO11" s="351"/>
      <c r="BP11" s="351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  <c r="CB11" s="351"/>
      <c r="CC11" s="351"/>
      <c r="CD11" s="351"/>
      <c r="CE11" s="351"/>
      <c r="CF11" s="351"/>
      <c r="CG11" s="351"/>
      <c r="CH11" s="351"/>
      <c r="CI11" s="351"/>
      <c r="CJ11" s="351"/>
      <c r="CK11" s="351"/>
      <c r="CL11" s="351"/>
      <c r="CM11" s="351"/>
      <c r="CN11" s="351"/>
      <c r="CO11" s="351"/>
      <c r="CP11" s="351"/>
      <c r="CQ11" s="351"/>
      <c r="CR11" s="351"/>
      <c r="CS11" s="351"/>
      <c r="CT11" s="351"/>
      <c r="CU11" s="351"/>
      <c r="CV11" s="351"/>
      <c r="CW11" s="351"/>
      <c r="CX11" s="351"/>
      <c r="CY11" s="351"/>
      <c r="CZ11" s="351"/>
      <c r="DA11" s="351"/>
      <c r="DB11" s="351"/>
      <c r="DC11" s="351"/>
      <c r="DD11" s="351"/>
      <c r="DE11" s="351"/>
      <c r="DF11" s="351"/>
      <c r="DG11" s="351"/>
      <c r="DH11" s="351"/>
      <c r="DI11" s="351"/>
      <c r="DJ11" s="351"/>
      <c r="DK11" s="351"/>
      <c r="DL11" s="351"/>
      <c r="DM11" s="351"/>
      <c r="DN11" s="351"/>
      <c r="DO11" s="351"/>
      <c r="DP11" s="351"/>
      <c r="DQ11" s="351"/>
      <c r="DR11" s="351"/>
      <c r="DS11" s="351"/>
      <c r="DT11" s="351"/>
      <c r="DU11" s="351"/>
      <c r="DV11" s="351"/>
      <c r="DW11" s="351"/>
      <c r="DX11" s="351"/>
      <c r="DY11" s="351"/>
      <c r="DZ11" s="351"/>
      <c r="EA11" s="351"/>
      <c r="EB11" s="351"/>
      <c r="EC11" s="351"/>
      <c r="ED11" s="351"/>
      <c r="EE11" s="351"/>
      <c r="EF11" s="351"/>
      <c r="EG11" s="351"/>
      <c r="EH11" s="351"/>
      <c r="EI11" s="351"/>
      <c r="EJ11" s="351"/>
      <c r="EK11" s="351"/>
      <c r="EL11" s="351"/>
      <c r="EM11" s="351"/>
      <c r="EN11" s="351"/>
      <c r="EO11" s="351"/>
      <c r="EP11" s="351"/>
      <c r="EQ11" s="351"/>
      <c r="ER11" s="351"/>
      <c r="ES11" s="351"/>
      <c r="ET11" s="351"/>
      <c r="EU11" s="351"/>
      <c r="EV11" s="351"/>
      <c r="EW11" s="351"/>
      <c r="EX11" s="351"/>
      <c r="EY11" s="351"/>
      <c r="EZ11" s="351"/>
      <c r="FA11" s="351"/>
      <c r="FB11" s="351"/>
      <c r="FC11" s="351"/>
      <c r="FD11" s="351"/>
      <c r="FE11" s="351"/>
      <c r="FF11" s="351"/>
      <c r="FG11" s="351"/>
      <c r="FH11" s="351"/>
      <c r="FI11" s="351"/>
      <c r="FJ11" s="351"/>
      <c r="FK11" s="351"/>
      <c r="FL11" s="351"/>
      <c r="FM11" s="351"/>
      <c r="FN11" s="351"/>
      <c r="FO11" s="351"/>
      <c r="FP11" s="351"/>
      <c r="FQ11" s="351"/>
      <c r="FR11" s="351"/>
      <c r="FS11" s="351"/>
      <c r="FT11" s="351"/>
      <c r="FU11" s="351"/>
      <c r="FV11" s="351"/>
      <c r="FW11" s="351"/>
      <c r="FX11" s="351"/>
      <c r="FY11" s="351"/>
      <c r="FZ11" s="351"/>
      <c r="GA11" s="351"/>
      <c r="GB11" s="351"/>
      <c r="GC11" s="351"/>
      <c r="GD11" s="351"/>
      <c r="GE11" s="351"/>
      <c r="GF11" s="351"/>
      <c r="GG11" s="351"/>
      <c r="GH11" s="351"/>
      <c r="GI11" s="351"/>
      <c r="GJ11" s="351"/>
      <c r="GK11" s="351"/>
      <c r="GL11" s="351"/>
      <c r="GM11" s="351"/>
      <c r="GN11" s="351"/>
      <c r="GO11" s="351"/>
      <c r="GP11" s="351"/>
      <c r="GQ11" s="351"/>
      <c r="GR11" s="351"/>
      <c r="GS11" s="351"/>
      <c r="GT11" s="351"/>
      <c r="GU11" s="351"/>
      <c r="GV11" s="351"/>
      <c r="GW11" s="351"/>
      <c r="GX11" s="351"/>
      <c r="GY11" s="351"/>
      <c r="GZ11" s="351"/>
      <c r="HA11" s="351"/>
      <c r="HB11" s="351"/>
      <c r="HC11" s="351"/>
      <c r="HD11" s="351"/>
      <c r="HE11" s="351"/>
      <c r="HF11" s="351"/>
      <c r="HG11" s="351"/>
      <c r="HH11" s="351"/>
      <c r="HI11" s="351"/>
      <c r="HJ11" s="351"/>
      <c r="HK11" s="351"/>
      <c r="HL11" s="351"/>
      <c r="HM11" s="351"/>
      <c r="HN11" s="351"/>
      <c r="HO11" s="351"/>
      <c r="HP11" s="351"/>
      <c r="HQ11" s="351"/>
      <c r="HR11" s="351"/>
      <c r="HS11" s="351"/>
      <c r="HT11" s="351"/>
      <c r="HU11" s="351"/>
      <c r="HV11" s="351"/>
      <c r="HW11" s="351"/>
      <c r="HX11" s="351"/>
      <c r="HY11" s="351"/>
      <c r="HZ11" s="351"/>
      <c r="IA11" s="351"/>
      <c r="IB11" s="351"/>
      <c r="IC11" s="351"/>
      <c r="ID11" s="351"/>
      <c r="IE11" s="351"/>
      <c r="IF11" s="351"/>
      <c r="IG11" s="351"/>
      <c r="IH11" s="351"/>
      <c r="II11" s="351"/>
      <c r="IJ11" s="351"/>
      <c r="IK11" s="351"/>
      <c r="IL11" s="351"/>
      <c r="IM11" s="351"/>
      <c r="IN11" s="351"/>
      <c r="IO11" s="351"/>
      <c r="IP11" s="351"/>
      <c r="IQ11" s="351"/>
      <c r="IR11" s="351"/>
      <c r="IS11" s="351"/>
      <c r="IT11" s="351"/>
      <c r="IU11" s="351"/>
      <c r="IV11" s="351"/>
    </row>
    <row r="12" spans="1:256" s="473" customFormat="1" ht="15" customHeight="1">
      <c r="A12" s="490"/>
      <c r="B12" s="482"/>
      <c r="C12" s="482"/>
      <c r="D12" s="482"/>
      <c r="E12" s="482"/>
      <c r="F12" s="482"/>
      <c r="G12" s="482"/>
      <c r="H12" s="482"/>
      <c r="I12" s="482"/>
      <c r="J12" s="492"/>
      <c r="K12" s="482"/>
      <c r="L12" s="482"/>
      <c r="M12" s="482"/>
      <c r="N12" s="482"/>
      <c r="O12" s="482"/>
      <c r="P12" s="708"/>
      <c r="Q12" s="708"/>
      <c r="R12" s="482"/>
      <c r="S12" s="482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1"/>
      <c r="BG12" s="351"/>
      <c r="BH12" s="351"/>
      <c r="BI12" s="351"/>
      <c r="BJ12" s="351"/>
      <c r="BK12" s="351"/>
      <c r="BL12" s="351"/>
      <c r="BM12" s="351"/>
      <c r="BN12" s="351"/>
      <c r="BO12" s="351"/>
      <c r="BP12" s="351"/>
      <c r="BQ12" s="351"/>
      <c r="BR12" s="351"/>
      <c r="BS12" s="351"/>
      <c r="BT12" s="351"/>
      <c r="BU12" s="351"/>
      <c r="BV12" s="351"/>
      <c r="BW12" s="351"/>
      <c r="BX12" s="351"/>
      <c r="BY12" s="351"/>
      <c r="BZ12" s="351"/>
      <c r="CA12" s="351"/>
      <c r="CB12" s="351"/>
      <c r="CC12" s="351"/>
      <c r="CD12" s="351"/>
      <c r="CE12" s="351"/>
      <c r="CF12" s="351"/>
      <c r="CG12" s="351"/>
      <c r="CH12" s="351"/>
      <c r="CI12" s="351"/>
      <c r="CJ12" s="351"/>
      <c r="CK12" s="351"/>
      <c r="CL12" s="351"/>
      <c r="CM12" s="351"/>
      <c r="CN12" s="351"/>
      <c r="CO12" s="351"/>
      <c r="CP12" s="351"/>
      <c r="CQ12" s="351"/>
      <c r="CR12" s="351"/>
      <c r="CS12" s="351"/>
      <c r="CT12" s="351"/>
      <c r="CU12" s="351"/>
      <c r="CV12" s="351"/>
      <c r="CW12" s="351"/>
      <c r="CX12" s="351"/>
      <c r="CY12" s="351"/>
      <c r="CZ12" s="351"/>
      <c r="DA12" s="351"/>
      <c r="DB12" s="351"/>
      <c r="DC12" s="351"/>
      <c r="DD12" s="351"/>
      <c r="DE12" s="351"/>
      <c r="DF12" s="351"/>
      <c r="DG12" s="351"/>
      <c r="DH12" s="351"/>
      <c r="DI12" s="351"/>
      <c r="DJ12" s="351"/>
      <c r="DK12" s="351"/>
      <c r="DL12" s="351"/>
      <c r="DM12" s="351"/>
      <c r="DN12" s="351"/>
      <c r="DO12" s="351"/>
      <c r="DP12" s="351"/>
      <c r="DQ12" s="351"/>
      <c r="DR12" s="351"/>
      <c r="DS12" s="351"/>
      <c r="DT12" s="351"/>
      <c r="DU12" s="351"/>
      <c r="DV12" s="351"/>
      <c r="DW12" s="351"/>
      <c r="DX12" s="351"/>
      <c r="DY12" s="351"/>
      <c r="DZ12" s="351"/>
      <c r="EA12" s="351"/>
      <c r="EB12" s="351"/>
      <c r="EC12" s="351"/>
      <c r="ED12" s="351"/>
      <c r="EE12" s="351"/>
      <c r="EF12" s="351"/>
      <c r="EG12" s="351"/>
      <c r="EH12" s="351"/>
      <c r="EI12" s="351"/>
      <c r="EJ12" s="351"/>
      <c r="EK12" s="351"/>
      <c r="EL12" s="351"/>
      <c r="EM12" s="351"/>
      <c r="EN12" s="351"/>
      <c r="EO12" s="351"/>
      <c r="EP12" s="351"/>
      <c r="EQ12" s="351"/>
      <c r="ER12" s="351"/>
      <c r="ES12" s="351"/>
      <c r="ET12" s="351"/>
      <c r="EU12" s="351"/>
      <c r="EV12" s="351"/>
      <c r="EW12" s="351"/>
      <c r="EX12" s="351"/>
      <c r="EY12" s="351"/>
      <c r="EZ12" s="351"/>
      <c r="FA12" s="351"/>
      <c r="FB12" s="351"/>
      <c r="FC12" s="351"/>
      <c r="FD12" s="351"/>
      <c r="FE12" s="351"/>
      <c r="FF12" s="351"/>
      <c r="FG12" s="351"/>
      <c r="FH12" s="351"/>
      <c r="FI12" s="351"/>
      <c r="FJ12" s="351"/>
      <c r="FK12" s="351"/>
      <c r="FL12" s="351"/>
      <c r="FM12" s="351"/>
      <c r="FN12" s="351"/>
      <c r="FO12" s="351"/>
      <c r="FP12" s="351"/>
      <c r="FQ12" s="351"/>
      <c r="FR12" s="351"/>
      <c r="FS12" s="351"/>
      <c r="FT12" s="351"/>
      <c r="FU12" s="351"/>
      <c r="FV12" s="351"/>
      <c r="FW12" s="351"/>
      <c r="FX12" s="351"/>
      <c r="FY12" s="351"/>
      <c r="FZ12" s="351"/>
      <c r="GA12" s="351"/>
      <c r="GB12" s="351"/>
      <c r="GC12" s="351"/>
      <c r="GD12" s="351"/>
      <c r="GE12" s="351"/>
      <c r="GF12" s="351"/>
      <c r="GG12" s="351"/>
      <c r="GH12" s="351"/>
      <c r="GI12" s="351"/>
      <c r="GJ12" s="351"/>
      <c r="GK12" s="351"/>
      <c r="GL12" s="351"/>
      <c r="GM12" s="351"/>
      <c r="GN12" s="351"/>
      <c r="GO12" s="351"/>
      <c r="GP12" s="351"/>
      <c r="GQ12" s="351"/>
      <c r="GR12" s="351"/>
      <c r="GS12" s="351"/>
      <c r="GT12" s="351"/>
      <c r="GU12" s="351"/>
      <c r="GV12" s="351"/>
      <c r="GW12" s="351"/>
      <c r="GX12" s="351"/>
      <c r="GY12" s="351"/>
      <c r="GZ12" s="351"/>
      <c r="HA12" s="351"/>
      <c r="HB12" s="351"/>
      <c r="HC12" s="351"/>
      <c r="HD12" s="351"/>
      <c r="HE12" s="351"/>
      <c r="HF12" s="351"/>
      <c r="HG12" s="351"/>
      <c r="HH12" s="351"/>
      <c r="HI12" s="351"/>
      <c r="HJ12" s="351"/>
      <c r="HK12" s="351"/>
      <c r="HL12" s="351"/>
      <c r="HM12" s="351"/>
      <c r="HN12" s="351"/>
      <c r="HO12" s="351"/>
      <c r="HP12" s="351"/>
      <c r="HQ12" s="351"/>
      <c r="HR12" s="351"/>
      <c r="HS12" s="351"/>
      <c r="HT12" s="351"/>
      <c r="HU12" s="351"/>
      <c r="HV12" s="351"/>
      <c r="HW12" s="351"/>
      <c r="HX12" s="351"/>
      <c r="HY12" s="351"/>
      <c r="HZ12" s="351"/>
      <c r="IA12" s="351"/>
      <c r="IB12" s="351"/>
      <c r="IC12" s="351"/>
      <c r="ID12" s="351"/>
      <c r="IE12" s="351"/>
      <c r="IF12" s="351"/>
      <c r="IG12" s="351"/>
      <c r="IH12" s="351"/>
      <c r="II12" s="351"/>
      <c r="IJ12" s="351"/>
      <c r="IK12" s="351"/>
      <c r="IL12" s="351"/>
      <c r="IM12" s="351"/>
      <c r="IN12" s="351"/>
      <c r="IO12" s="351"/>
      <c r="IP12" s="351"/>
      <c r="IQ12" s="351"/>
      <c r="IR12" s="351"/>
      <c r="IS12" s="351"/>
      <c r="IT12" s="351"/>
      <c r="IU12" s="351"/>
      <c r="IV12" s="351"/>
    </row>
    <row r="13" spans="1:256" s="473" customFormat="1" ht="15" customHeight="1">
      <c r="A13" s="490"/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694"/>
      <c r="Q13" s="482"/>
      <c r="R13" s="482"/>
      <c r="S13" s="482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351"/>
      <c r="AX13" s="351"/>
      <c r="AY13" s="351"/>
      <c r="AZ13" s="351"/>
      <c r="BA13" s="351"/>
      <c r="BB13" s="351"/>
      <c r="BC13" s="351"/>
      <c r="BD13" s="351"/>
      <c r="BE13" s="351"/>
      <c r="BF13" s="351"/>
      <c r="BG13" s="351"/>
      <c r="BH13" s="351"/>
      <c r="BI13" s="351"/>
      <c r="BJ13" s="351"/>
      <c r="BK13" s="351"/>
      <c r="BL13" s="351"/>
      <c r="BM13" s="351"/>
      <c r="BN13" s="351"/>
      <c r="BO13" s="351"/>
      <c r="BP13" s="351"/>
      <c r="BQ13" s="351"/>
      <c r="BR13" s="351"/>
      <c r="BS13" s="351"/>
      <c r="BT13" s="351"/>
      <c r="BU13" s="351"/>
      <c r="BV13" s="351"/>
      <c r="BW13" s="351"/>
      <c r="BX13" s="351"/>
      <c r="BY13" s="351"/>
      <c r="BZ13" s="351"/>
      <c r="CA13" s="351"/>
      <c r="CB13" s="351"/>
      <c r="CC13" s="351"/>
      <c r="CD13" s="351"/>
      <c r="CE13" s="351"/>
      <c r="CF13" s="351"/>
      <c r="CG13" s="351"/>
      <c r="CH13" s="351"/>
      <c r="CI13" s="351"/>
      <c r="CJ13" s="351"/>
      <c r="CK13" s="351"/>
      <c r="CL13" s="351"/>
      <c r="CM13" s="351"/>
      <c r="CN13" s="351"/>
      <c r="CO13" s="351"/>
      <c r="CP13" s="351"/>
      <c r="CQ13" s="351"/>
      <c r="CR13" s="351"/>
      <c r="CS13" s="351"/>
      <c r="CT13" s="351"/>
      <c r="CU13" s="351"/>
      <c r="CV13" s="351"/>
      <c r="CW13" s="351"/>
      <c r="CX13" s="351"/>
      <c r="CY13" s="351"/>
      <c r="CZ13" s="351"/>
      <c r="DA13" s="351"/>
      <c r="DB13" s="351"/>
      <c r="DC13" s="351"/>
      <c r="DD13" s="351"/>
      <c r="DE13" s="351"/>
      <c r="DF13" s="351"/>
      <c r="DG13" s="351"/>
      <c r="DH13" s="351"/>
      <c r="DI13" s="351"/>
      <c r="DJ13" s="351"/>
      <c r="DK13" s="351"/>
      <c r="DL13" s="351"/>
      <c r="DM13" s="351"/>
      <c r="DN13" s="351"/>
      <c r="DO13" s="351"/>
      <c r="DP13" s="351"/>
      <c r="DQ13" s="351"/>
      <c r="DR13" s="351"/>
      <c r="DS13" s="351"/>
      <c r="DT13" s="351"/>
      <c r="DU13" s="351"/>
      <c r="DV13" s="351"/>
      <c r="DW13" s="351"/>
      <c r="DX13" s="351"/>
      <c r="DY13" s="351"/>
      <c r="DZ13" s="351"/>
      <c r="EA13" s="351"/>
      <c r="EB13" s="351"/>
      <c r="EC13" s="351"/>
      <c r="ED13" s="351"/>
      <c r="EE13" s="351"/>
      <c r="EF13" s="351"/>
      <c r="EG13" s="351"/>
      <c r="EH13" s="351"/>
      <c r="EI13" s="351"/>
      <c r="EJ13" s="351"/>
      <c r="EK13" s="351"/>
      <c r="EL13" s="351"/>
      <c r="EM13" s="351"/>
      <c r="EN13" s="351"/>
      <c r="EO13" s="351"/>
      <c r="EP13" s="351"/>
      <c r="EQ13" s="351"/>
      <c r="ER13" s="351"/>
      <c r="ES13" s="351"/>
      <c r="ET13" s="351"/>
      <c r="EU13" s="351"/>
      <c r="EV13" s="351"/>
      <c r="EW13" s="351"/>
      <c r="EX13" s="351"/>
      <c r="EY13" s="351"/>
      <c r="EZ13" s="351"/>
      <c r="FA13" s="351"/>
      <c r="FB13" s="351"/>
      <c r="FC13" s="351"/>
      <c r="FD13" s="351"/>
      <c r="FE13" s="351"/>
      <c r="FF13" s="351"/>
      <c r="FG13" s="351"/>
      <c r="FH13" s="351"/>
      <c r="FI13" s="351"/>
      <c r="FJ13" s="351"/>
      <c r="FK13" s="351"/>
      <c r="FL13" s="351"/>
      <c r="FM13" s="351"/>
      <c r="FN13" s="351"/>
      <c r="FO13" s="351"/>
      <c r="FP13" s="351"/>
      <c r="FQ13" s="351"/>
      <c r="FR13" s="351"/>
      <c r="FS13" s="351"/>
      <c r="FT13" s="351"/>
      <c r="FU13" s="351"/>
      <c r="FV13" s="351"/>
      <c r="FW13" s="351"/>
      <c r="FX13" s="351"/>
      <c r="FY13" s="351"/>
      <c r="FZ13" s="351"/>
      <c r="GA13" s="351"/>
      <c r="GB13" s="351"/>
      <c r="GC13" s="351"/>
      <c r="GD13" s="351"/>
      <c r="GE13" s="351"/>
      <c r="GF13" s="351"/>
      <c r="GG13" s="351"/>
      <c r="GH13" s="351"/>
      <c r="GI13" s="351"/>
      <c r="GJ13" s="351"/>
      <c r="GK13" s="351"/>
      <c r="GL13" s="351"/>
      <c r="GM13" s="351"/>
      <c r="GN13" s="351"/>
      <c r="GO13" s="351"/>
      <c r="GP13" s="351"/>
      <c r="GQ13" s="351"/>
      <c r="GR13" s="351"/>
      <c r="GS13" s="351"/>
      <c r="GT13" s="351"/>
      <c r="GU13" s="351"/>
      <c r="GV13" s="351"/>
      <c r="GW13" s="351"/>
      <c r="GX13" s="351"/>
      <c r="GY13" s="351"/>
      <c r="GZ13" s="351"/>
      <c r="HA13" s="351"/>
      <c r="HB13" s="351"/>
      <c r="HC13" s="351"/>
      <c r="HD13" s="351"/>
      <c r="HE13" s="351"/>
      <c r="HF13" s="351"/>
      <c r="HG13" s="351"/>
      <c r="HH13" s="351"/>
      <c r="HI13" s="351"/>
      <c r="HJ13" s="351"/>
      <c r="HK13" s="351"/>
      <c r="HL13" s="351"/>
      <c r="HM13" s="351"/>
      <c r="HN13" s="351"/>
      <c r="HO13" s="351"/>
      <c r="HP13" s="351"/>
      <c r="HQ13" s="351"/>
      <c r="HR13" s="351"/>
      <c r="HS13" s="351"/>
      <c r="HT13" s="351"/>
      <c r="HU13" s="351"/>
      <c r="HV13" s="351"/>
      <c r="HW13" s="351"/>
      <c r="HX13" s="351"/>
      <c r="HY13" s="351"/>
      <c r="HZ13" s="351"/>
      <c r="IA13" s="351"/>
      <c r="IB13" s="351"/>
      <c r="IC13" s="351"/>
      <c r="ID13" s="351"/>
      <c r="IE13" s="351"/>
      <c r="IF13" s="351"/>
      <c r="IG13" s="351"/>
      <c r="IH13" s="351"/>
      <c r="II13" s="351"/>
      <c r="IJ13" s="351"/>
      <c r="IK13" s="351"/>
      <c r="IL13" s="351"/>
      <c r="IM13" s="351"/>
      <c r="IN13" s="351"/>
      <c r="IO13" s="351"/>
      <c r="IP13" s="351"/>
      <c r="IQ13" s="351"/>
      <c r="IR13" s="351"/>
      <c r="IS13" s="351"/>
      <c r="IT13" s="351"/>
      <c r="IU13" s="351"/>
      <c r="IV13" s="351"/>
    </row>
    <row r="14" spans="1:256">
      <c r="A14" s="482"/>
      <c r="B14" s="483"/>
      <c r="C14" s="483"/>
      <c r="D14" s="484"/>
      <c r="E14" s="485"/>
      <c r="F14" s="485"/>
      <c r="G14" s="486"/>
      <c r="H14" s="485"/>
      <c r="I14" s="485"/>
      <c r="J14" s="485"/>
      <c r="K14" s="466"/>
      <c r="L14" s="466"/>
      <c r="M14" s="466"/>
      <c r="N14" s="466"/>
      <c r="O14" s="466"/>
      <c r="P14" s="694"/>
      <c r="R14" s="419"/>
      <c r="S14" s="419"/>
    </row>
    <row r="15" spans="1:256">
      <c r="A15" s="482"/>
      <c r="B15" s="483"/>
      <c r="C15" s="483"/>
      <c r="D15" s="484"/>
      <c r="E15" s="485"/>
      <c r="F15" s="485"/>
      <c r="G15" s="486"/>
      <c r="H15" s="485"/>
      <c r="I15" s="485"/>
      <c r="J15" s="485"/>
      <c r="O15" s="484"/>
      <c r="P15" s="694"/>
      <c r="R15" s="419"/>
      <c r="S15" s="419"/>
    </row>
    <row r="16" spans="1:256">
      <c r="A16" s="482"/>
      <c r="B16" s="483"/>
      <c r="C16" s="483"/>
      <c r="D16" s="484"/>
      <c r="E16" s="485"/>
      <c r="F16" s="485"/>
      <c r="G16" s="486"/>
      <c r="H16" s="485"/>
      <c r="I16" s="485"/>
      <c r="J16" s="485"/>
      <c r="O16" s="484"/>
      <c r="P16" s="694"/>
      <c r="R16" s="419"/>
      <c r="S16" s="419"/>
    </row>
    <row r="17" spans="1:19" ht="30" customHeight="1">
      <c r="A17" s="829" t="s">
        <v>340</v>
      </c>
      <c r="B17" s="830"/>
      <c r="C17" s="831" t="s">
        <v>349</v>
      </c>
      <c r="D17" s="832"/>
      <c r="E17" s="831" t="s">
        <v>350</v>
      </c>
      <c r="F17" s="832"/>
      <c r="G17" s="758" t="s">
        <v>342</v>
      </c>
      <c r="H17" s="758"/>
      <c r="I17" s="485"/>
      <c r="J17" s="485"/>
      <c r="O17" s="484"/>
      <c r="P17" s="690"/>
      <c r="R17" s="419"/>
      <c r="S17" s="419"/>
    </row>
    <row r="18" spans="1:19">
      <c r="A18" s="823" t="s">
        <v>343</v>
      </c>
      <c r="B18" s="824"/>
      <c r="C18" s="825">
        <v>-16</v>
      </c>
      <c r="D18" s="825"/>
      <c r="E18" s="826">
        <v>9.89</v>
      </c>
      <c r="F18" s="827"/>
      <c r="G18" s="828">
        <f>CPU!F55</f>
        <v>1955491</v>
      </c>
      <c r="H18" s="828"/>
      <c r="I18" s="485"/>
      <c r="J18" s="485"/>
      <c r="O18" s="484"/>
      <c r="P18" s="690"/>
      <c r="R18" s="419"/>
      <c r="S18" s="419"/>
    </row>
    <row r="19" spans="1:19">
      <c r="A19" s="833" t="s">
        <v>441</v>
      </c>
      <c r="B19" s="834"/>
      <c r="C19" s="835">
        <v>-15</v>
      </c>
      <c r="D19" s="835"/>
      <c r="E19" s="836">
        <v>13.85</v>
      </c>
      <c r="F19" s="837"/>
      <c r="G19" s="838">
        <f>CPU!F56</f>
        <v>2210000</v>
      </c>
      <c r="H19" s="838"/>
      <c r="I19" s="485"/>
      <c r="J19" s="485"/>
      <c r="O19" s="484"/>
      <c r="P19" s="485"/>
      <c r="R19" s="419"/>
      <c r="S19" s="419"/>
    </row>
    <row r="20" spans="1:19">
      <c r="A20" s="823" t="s">
        <v>346</v>
      </c>
      <c r="B20" s="824"/>
      <c r="C20" s="825">
        <v>-14</v>
      </c>
      <c r="D20" s="825"/>
      <c r="E20" s="826">
        <v>19.39</v>
      </c>
      <c r="F20" s="827"/>
      <c r="G20" s="828">
        <f>CPU!F57</f>
        <v>198090.13986815879</v>
      </c>
      <c r="H20" s="828"/>
      <c r="I20" s="485"/>
      <c r="J20" s="485"/>
      <c r="O20" s="484"/>
      <c r="P20" s="419"/>
      <c r="Q20" s="419"/>
    </row>
    <row r="21" spans="1:19" ht="15" customHeight="1">
      <c r="A21" s="833" t="s">
        <v>347</v>
      </c>
      <c r="B21" s="834"/>
      <c r="C21" s="835">
        <v>-14</v>
      </c>
      <c r="D21" s="835"/>
      <c r="E21" s="836">
        <v>24.07</v>
      </c>
      <c r="F21" s="837"/>
      <c r="G21" s="838">
        <f>CPU!F58</f>
        <v>16909.860131841273</v>
      </c>
      <c r="H21" s="838"/>
      <c r="I21" s="485"/>
      <c r="J21" s="485"/>
      <c r="K21" s="284"/>
      <c r="L21" s="284"/>
      <c r="M21" s="284"/>
      <c r="N21" s="284"/>
      <c r="O21" s="284"/>
      <c r="P21" s="284"/>
      <c r="Q21" s="419"/>
    </row>
    <row r="22" spans="1:19" ht="15" customHeight="1">
      <c r="A22" s="839" t="s">
        <v>434</v>
      </c>
      <c r="B22" s="840"/>
      <c r="C22" s="840"/>
      <c r="D22" s="840"/>
      <c r="E22" s="840"/>
      <c r="F22" s="841"/>
      <c r="G22" s="842">
        <f>SUM(G18:H21)</f>
        <v>4380491</v>
      </c>
      <c r="H22" s="843"/>
      <c r="I22" s="485"/>
      <c r="J22" s="485"/>
      <c r="K22" s="284"/>
      <c r="L22" s="284"/>
      <c r="M22" s="284"/>
      <c r="N22" s="284"/>
      <c r="O22" s="284"/>
      <c r="P22" s="284"/>
    </row>
    <row r="23" spans="1:19" ht="15.75" customHeight="1">
      <c r="A23" s="482"/>
      <c r="B23" s="483"/>
      <c r="C23" s="483"/>
      <c r="D23" s="484"/>
      <c r="E23" s="485"/>
      <c r="F23" s="485"/>
      <c r="G23" s="486"/>
      <c r="H23" s="485"/>
      <c r="I23" s="485"/>
      <c r="J23" s="284"/>
      <c r="K23" s="284"/>
      <c r="L23" s="284"/>
      <c r="M23" s="284"/>
      <c r="N23" s="284"/>
      <c r="O23" s="284"/>
      <c r="P23" s="284"/>
    </row>
    <row r="24" spans="1:19" ht="25.5" customHeight="1">
      <c r="A24" s="482"/>
      <c r="B24" s="483"/>
      <c r="C24" s="483"/>
      <c r="D24" s="484"/>
      <c r="E24" s="485"/>
      <c r="F24" s="485"/>
      <c r="G24" s="486"/>
      <c r="H24" s="485"/>
      <c r="I24" s="485"/>
      <c r="J24" s="284"/>
      <c r="K24" s="284"/>
      <c r="L24" s="284"/>
      <c r="M24" s="284"/>
      <c r="N24" s="284"/>
      <c r="O24" s="284"/>
      <c r="P24" s="284"/>
    </row>
    <row r="25" spans="1:19" ht="15" customHeight="1">
      <c r="A25" s="482"/>
      <c r="B25" s="483"/>
      <c r="C25" s="483"/>
      <c r="D25" s="484"/>
      <c r="E25" s="485"/>
      <c r="F25" s="485"/>
      <c r="G25" s="486"/>
      <c r="H25" s="485"/>
      <c r="I25" s="485"/>
      <c r="J25" s="284"/>
      <c r="K25" s="284"/>
      <c r="L25" s="284"/>
      <c r="M25" s="284"/>
      <c r="N25" s="284"/>
      <c r="O25" s="284"/>
      <c r="P25" s="284"/>
    </row>
    <row r="26" spans="1:19" ht="15" customHeight="1">
      <c r="A26" s="482"/>
      <c r="B26" s="483"/>
      <c r="C26" s="483"/>
      <c r="D26" s="484"/>
      <c r="E26" s="485"/>
      <c r="F26" s="485"/>
      <c r="G26" s="486"/>
      <c r="H26" s="485"/>
      <c r="I26" s="485"/>
      <c r="J26" s="284"/>
      <c r="K26" s="284"/>
      <c r="L26" s="284"/>
      <c r="M26" s="284"/>
      <c r="N26" s="284"/>
      <c r="O26" s="284"/>
      <c r="P26" s="284"/>
      <c r="Q26" s="284"/>
      <c r="R26" s="284"/>
    </row>
    <row r="27" spans="1:19" ht="15" customHeight="1">
      <c r="C27" s="419"/>
      <c r="D27" s="419"/>
      <c r="E27" s="419"/>
      <c r="F27" s="419"/>
      <c r="G27" s="419"/>
      <c r="H27" s="419"/>
      <c r="I27" s="419"/>
      <c r="J27" s="284"/>
      <c r="K27" s="284"/>
      <c r="L27" s="284"/>
      <c r="M27" s="284"/>
      <c r="N27" s="284"/>
      <c r="O27" s="284"/>
      <c r="P27" s="284"/>
      <c r="Q27" s="284"/>
      <c r="R27" s="284"/>
    </row>
    <row r="28" spans="1:19" ht="25.5" customHeight="1">
      <c r="C28" s="419"/>
      <c r="E28" s="419"/>
      <c r="F28" s="419"/>
      <c r="G28" s="419"/>
      <c r="H28" s="419"/>
      <c r="I28" s="419"/>
      <c r="J28" s="284"/>
      <c r="K28" s="284"/>
      <c r="L28" s="284"/>
      <c r="M28" s="284"/>
      <c r="N28" s="284"/>
      <c r="O28" s="284"/>
      <c r="P28" s="284"/>
      <c r="Q28" s="284"/>
      <c r="R28" s="284"/>
    </row>
    <row r="29" spans="1:19" ht="15.75" customHeight="1">
      <c r="A29" s="351" t="s">
        <v>435</v>
      </c>
      <c r="B29" s="487">
        <f>CPU!G1303</f>
        <v>271</v>
      </c>
      <c r="C29" s="419">
        <f>SUM(E4:E6)</f>
        <v>270.12871784063572</v>
      </c>
      <c r="E29" s="419">
        <f>SUM(O4:O6)</f>
        <v>270.12871784063572</v>
      </c>
      <c r="F29" s="419"/>
      <c r="G29" s="419"/>
      <c r="H29" s="419"/>
      <c r="I29" s="419"/>
      <c r="J29" s="284"/>
      <c r="K29" s="284"/>
      <c r="L29" s="284"/>
      <c r="M29" s="284"/>
      <c r="N29" s="284"/>
      <c r="O29" s="284"/>
      <c r="P29" s="284"/>
      <c r="Q29" s="284"/>
      <c r="R29" s="284"/>
    </row>
    <row r="30" spans="1:19" ht="15" customHeight="1">
      <c r="A30" s="351" t="s">
        <v>436</v>
      </c>
      <c r="B30" s="487">
        <f>CPU!G1304</f>
        <v>155</v>
      </c>
      <c r="C30" s="419">
        <f>SUM(E7)</f>
        <v>154.22240107993991</v>
      </c>
      <c r="E30" s="419">
        <f>SUM(O7)</f>
        <v>154.22240107993991</v>
      </c>
      <c r="F30" s="419"/>
      <c r="G30" s="419"/>
      <c r="H30" s="419"/>
      <c r="I30" s="419"/>
      <c r="J30" s="284"/>
      <c r="K30" s="284"/>
      <c r="L30" s="284"/>
      <c r="M30" s="284"/>
      <c r="N30" s="692"/>
      <c r="O30" s="284"/>
      <c r="P30" s="284"/>
      <c r="Q30" s="284"/>
      <c r="R30" s="284"/>
    </row>
    <row r="31" spans="1:19" ht="15" customHeight="1">
      <c r="B31" s="487"/>
      <c r="J31" s="284"/>
      <c r="K31" s="284"/>
      <c r="L31" s="284"/>
      <c r="M31" s="284"/>
      <c r="N31" s="692"/>
      <c r="O31" s="284"/>
      <c r="P31" s="284"/>
      <c r="Q31" s="284"/>
      <c r="R31" s="284"/>
    </row>
    <row r="32" spans="1:19" ht="15" customHeight="1">
      <c r="J32" s="284"/>
      <c r="K32" s="284"/>
      <c r="L32" s="284"/>
      <c r="M32" s="284"/>
      <c r="N32" s="692"/>
      <c r="O32" s="284"/>
      <c r="P32" s="284"/>
      <c r="Q32" s="284"/>
      <c r="R32" s="284"/>
    </row>
    <row r="33" spans="2:18" ht="15" customHeight="1">
      <c r="J33" s="284"/>
      <c r="K33" s="284"/>
      <c r="L33" s="284"/>
      <c r="M33" s="284"/>
      <c r="N33" s="692"/>
      <c r="O33" s="284"/>
      <c r="P33" s="284"/>
      <c r="Q33" s="284"/>
      <c r="R33" s="284"/>
    </row>
    <row r="34" spans="2:18" ht="15" customHeight="1">
      <c r="B34" s="492"/>
      <c r="D34" s="419"/>
      <c r="H34" s="419"/>
      <c r="I34" s="419"/>
      <c r="J34" s="284"/>
      <c r="K34" s="284"/>
      <c r="L34" s="284"/>
      <c r="M34" s="284"/>
      <c r="N34" s="692"/>
      <c r="O34" s="284"/>
      <c r="P34" s="284"/>
      <c r="Q34" s="284"/>
      <c r="R34" s="284"/>
    </row>
    <row r="35" spans="2:18" ht="15" customHeight="1">
      <c r="D35" s="419"/>
      <c r="H35" s="419"/>
      <c r="I35" s="419"/>
      <c r="J35" s="284"/>
      <c r="K35" s="284"/>
      <c r="L35" s="284"/>
      <c r="M35" s="284"/>
      <c r="N35" s="691"/>
      <c r="O35" s="284"/>
      <c r="P35" s="284"/>
      <c r="Q35" s="284"/>
      <c r="R35" s="284"/>
    </row>
    <row r="36" spans="2:18" ht="15" customHeight="1">
      <c r="D36" s="419"/>
      <c r="H36" s="419"/>
      <c r="I36" s="419"/>
      <c r="J36" s="284"/>
      <c r="K36" s="284"/>
      <c r="L36" s="284"/>
      <c r="M36" s="284"/>
      <c r="N36" s="691"/>
      <c r="O36" s="284"/>
      <c r="P36" s="284"/>
      <c r="Q36" s="284"/>
      <c r="R36" s="284"/>
    </row>
    <row r="37" spans="2:18" ht="15" customHeight="1">
      <c r="B37" s="488"/>
      <c r="D37" s="419"/>
      <c r="H37" s="419"/>
      <c r="I37" s="419"/>
      <c r="J37" s="284"/>
      <c r="K37" s="284"/>
      <c r="L37" s="284"/>
      <c r="M37" s="284"/>
      <c r="N37" s="691"/>
      <c r="O37" s="284"/>
      <c r="P37" s="284"/>
      <c r="Q37" s="284"/>
      <c r="R37" s="284"/>
    </row>
    <row r="38" spans="2:18" ht="25.5" customHeight="1">
      <c r="D38" s="419"/>
      <c r="H38" s="419"/>
      <c r="I38" s="419"/>
      <c r="J38" s="284"/>
      <c r="K38" s="284"/>
      <c r="L38" s="284"/>
      <c r="M38" s="284"/>
      <c r="N38" s="691"/>
      <c r="O38" s="284"/>
      <c r="P38" s="284"/>
      <c r="Q38" s="284"/>
      <c r="R38" s="284"/>
    </row>
    <row r="39" spans="2:18" ht="15" customHeight="1">
      <c r="D39" s="419"/>
      <c r="H39" s="419"/>
      <c r="I39" s="419"/>
      <c r="J39" s="284"/>
      <c r="K39" s="284"/>
      <c r="L39" s="284"/>
      <c r="M39" s="284"/>
      <c r="N39" s="284"/>
      <c r="O39" s="284"/>
      <c r="P39" s="284"/>
      <c r="Q39" s="284"/>
      <c r="R39" s="284"/>
    </row>
    <row r="40" spans="2:18" ht="15" customHeight="1">
      <c r="D40" s="419"/>
      <c r="H40" s="419"/>
      <c r="I40" s="419"/>
      <c r="J40" s="284"/>
      <c r="K40" s="284"/>
      <c r="L40" s="284"/>
      <c r="M40" s="284"/>
      <c r="N40" s="284"/>
      <c r="O40" s="284"/>
      <c r="P40" s="284"/>
      <c r="Q40" s="284"/>
      <c r="R40" s="284"/>
    </row>
    <row r="41" spans="2:18" ht="25.5" customHeight="1">
      <c r="D41" s="419"/>
      <c r="H41" s="419"/>
      <c r="I41" s="419"/>
      <c r="J41" s="284"/>
      <c r="K41" s="284"/>
      <c r="L41" s="284"/>
      <c r="M41" s="284"/>
      <c r="N41" s="284"/>
      <c r="O41" s="284"/>
      <c r="P41" s="284"/>
      <c r="Q41" s="284"/>
      <c r="R41" s="284"/>
    </row>
    <row r="42" spans="2:18" ht="15" customHeight="1">
      <c r="D42" s="419"/>
      <c r="H42" s="419"/>
      <c r="I42" s="419"/>
      <c r="J42" s="284"/>
      <c r="K42" s="284"/>
      <c r="L42" s="284"/>
      <c r="M42" s="284"/>
      <c r="N42" s="284"/>
      <c r="O42" s="284"/>
      <c r="P42" s="284"/>
      <c r="Q42" s="284"/>
      <c r="R42" s="284"/>
    </row>
    <row r="43" spans="2:18" ht="25.5" customHeight="1">
      <c r="D43" s="419"/>
      <c r="H43" s="419"/>
      <c r="I43" s="419"/>
      <c r="J43" s="284"/>
      <c r="K43" s="284"/>
      <c r="L43" s="284"/>
      <c r="M43" s="284"/>
      <c r="N43" s="284"/>
      <c r="O43" s="284"/>
      <c r="P43" s="284"/>
      <c r="Q43" s="284"/>
      <c r="R43" s="284"/>
    </row>
    <row r="44" spans="2:18">
      <c r="D44" s="419"/>
      <c r="H44" s="419"/>
      <c r="I44" s="419"/>
      <c r="J44" s="419"/>
      <c r="K44" s="419"/>
    </row>
    <row r="45" spans="2:18">
      <c r="D45" s="419"/>
      <c r="H45" s="419"/>
      <c r="I45" s="419"/>
      <c r="J45" s="419"/>
      <c r="K45" s="419"/>
    </row>
    <row r="46" spans="2:18">
      <c r="D46" s="419"/>
      <c r="H46" s="419"/>
      <c r="I46" s="419"/>
      <c r="J46" s="419"/>
      <c r="K46" s="419"/>
    </row>
    <row r="47" spans="2:18">
      <c r="D47" s="419"/>
      <c r="H47" s="419"/>
      <c r="I47" s="419"/>
      <c r="J47" s="419"/>
      <c r="K47" s="419"/>
    </row>
    <row r="50" spans="3:8">
      <c r="H50" s="419"/>
    </row>
    <row r="56" spans="3:8">
      <c r="C56" s="487"/>
    </row>
  </sheetData>
  <mergeCells count="24">
    <mergeCell ref="A22:F22"/>
    <mergeCell ref="G22:H22"/>
    <mergeCell ref="A21:B21"/>
    <mergeCell ref="C21:D21"/>
    <mergeCell ref="E21:F21"/>
    <mergeCell ref="G21:H21"/>
    <mergeCell ref="A19:B19"/>
    <mergeCell ref="C19:D19"/>
    <mergeCell ref="E19:F19"/>
    <mergeCell ref="G19:H19"/>
    <mergeCell ref="A20:B20"/>
    <mergeCell ref="C20:D20"/>
    <mergeCell ref="E20:F20"/>
    <mergeCell ref="G20:H20"/>
    <mergeCell ref="O2:Q2"/>
    <mergeCell ref="U2:W2"/>
    <mergeCell ref="A18:B18"/>
    <mergeCell ref="C18:D18"/>
    <mergeCell ref="E18:F18"/>
    <mergeCell ref="G18:H18"/>
    <mergeCell ref="A17:B17"/>
    <mergeCell ref="G17:H17"/>
    <mergeCell ref="E17:F17"/>
    <mergeCell ref="C17:D17"/>
  </mergeCells>
  <pageMargins left="0.51181102362204722" right="0.51181102362204722" top="0.78740157480314965" bottom="0.78740157480314965" header="0.31496062992125984" footer="0.31496062992125984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I137"/>
  <sheetViews>
    <sheetView topLeftCell="A64" zoomScale="85" zoomScaleNormal="85" workbookViewId="0">
      <selection activeCell="AA87" sqref="AA87:AB87"/>
    </sheetView>
  </sheetViews>
  <sheetFormatPr defaultRowHeight="15"/>
  <cols>
    <col min="1" max="4" width="9.140625" style="501"/>
    <col min="5" max="5" width="25.28515625" style="501" bestFit="1" customWidth="1"/>
    <col min="6" max="6" width="10.5703125" style="501" bestFit="1" customWidth="1"/>
    <col min="7" max="7" width="15.42578125" style="501" bestFit="1" customWidth="1"/>
    <col min="8" max="8" width="9.140625" style="501"/>
    <col min="9" max="80" width="2.7109375" style="501" customWidth="1"/>
    <col min="81" max="86" width="9.140625" style="501" customWidth="1"/>
    <col min="87" max="16384" width="9.140625" style="501"/>
  </cols>
  <sheetData>
    <row r="1" spans="1:80" ht="16.5">
      <c r="A1" s="499"/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500"/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  <c r="AM1" s="499"/>
      <c r="AN1" s="499"/>
      <c r="AO1" s="499"/>
      <c r="AP1" s="499"/>
      <c r="AQ1" s="499"/>
      <c r="AR1" s="499"/>
      <c r="AS1" s="499"/>
      <c r="AT1" s="499"/>
      <c r="AU1" s="499"/>
      <c r="AV1" s="499"/>
      <c r="AW1" s="499"/>
      <c r="AX1" s="499"/>
      <c r="AY1" s="499"/>
      <c r="AZ1" s="499"/>
      <c r="BA1" s="499"/>
      <c r="BB1" s="499"/>
      <c r="BC1" s="499"/>
      <c r="BD1" s="499"/>
      <c r="BE1" s="499"/>
      <c r="BF1" s="499"/>
      <c r="BG1" s="499"/>
      <c r="BH1" s="499"/>
      <c r="BI1" s="499"/>
      <c r="BJ1" s="499"/>
      <c r="BK1" s="499"/>
      <c r="BL1" s="499"/>
      <c r="BM1" s="499"/>
      <c r="BN1" s="499"/>
      <c r="BO1" s="499"/>
      <c r="BP1" s="499"/>
      <c r="BQ1" s="499"/>
      <c r="BR1" s="499"/>
      <c r="BS1" s="499"/>
      <c r="BT1" s="499"/>
      <c r="BU1" s="499"/>
      <c r="BV1" s="499"/>
      <c r="BW1" s="499"/>
      <c r="BX1" s="499"/>
      <c r="BY1" s="499"/>
      <c r="BZ1" s="499"/>
      <c r="CA1" s="499"/>
      <c r="CB1" s="499"/>
    </row>
    <row r="2" spans="1:80" ht="16.5">
      <c r="B2" s="876" t="s">
        <v>453</v>
      </c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7"/>
      <c r="Z2" s="877"/>
      <c r="AA2" s="877"/>
      <c r="AB2" s="877"/>
      <c r="AC2" s="877"/>
      <c r="AD2" s="877"/>
      <c r="AE2" s="877"/>
      <c r="AF2" s="877"/>
      <c r="AG2" s="877"/>
      <c r="AH2" s="877"/>
      <c r="AI2" s="877"/>
      <c r="AJ2" s="877"/>
      <c r="AK2" s="877"/>
      <c r="AL2" s="877"/>
      <c r="AM2" s="877"/>
      <c r="AN2" s="877"/>
      <c r="AO2" s="877"/>
      <c r="AP2" s="877"/>
      <c r="AQ2" s="877"/>
      <c r="AR2" s="877"/>
      <c r="AS2" s="877"/>
      <c r="AT2" s="877"/>
      <c r="AU2" s="877"/>
      <c r="AV2" s="877"/>
      <c r="AW2" s="877"/>
      <c r="AX2" s="877"/>
      <c r="AY2" s="877"/>
      <c r="AZ2" s="877"/>
      <c r="BA2" s="877"/>
      <c r="BB2" s="877"/>
      <c r="BC2" s="877"/>
      <c r="BD2" s="877"/>
      <c r="BE2" s="877"/>
      <c r="BF2" s="877"/>
      <c r="BG2" s="877"/>
      <c r="BH2" s="877"/>
      <c r="BI2" s="877"/>
      <c r="BJ2" s="877"/>
      <c r="BK2" s="877"/>
      <c r="BL2" s="877"/>
      <c r="BM2" s="877"/>
      <c r="BN2" s="877"/>
      <c r="BO2" s="877"/>
      <c r="BP2" s="877"/>
      <c r="BQ2" s="877"/>
      <c r="BR2" s="877"/>
      <c r="BS2" s="877"/>
      <c r="BT2" s="877"/>
      <c r="BU2" s="877"/>
      <c r="BV2" s="877"/>
      <c r="BW2" s="877"/>
      <c r="BX2" s="877"/>
      <c r="BY2" s="877"/>
      <c r="BZ2" s="877"/>
      <c r="CA2" s="877"/>
      <c r="CB2" s="877"/>
    </row>
    <row r="3" spans="1:80" ht="16.5">
      <c r="B3" s="876" t="s">
        <v>454</v>
      </c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7"/>
      <c r="V3" s="877"/>
      <c r="W3" s="877"/>
      <c r="X3" s="877"/>
      <c r="Y3" s="877"/>
      <c r="Z3" s="877"/>
      <c r="AA3" s="877"/>
      <c r="AB3" s="877"/>
      <c r="AC3" s="877"/>
      <c r="AD3" s="877"/>
      <c r="AE3" s="877"/>
      <c r="AF3" s="877"/>
      <c r="AG3" s="877"/>
      <c r="AH3" s="877"/>
      <c r="AI3" s="877"/>
      <c r="AJ3" s="877"/>
      <c r="AK3" s="877"/>
      <c r="AL3" s="877"/>
      <c r="AM3" s="877"/>
      <c r="AN3" s="877"/>
      <c r="AO3" s="877"/>
      <c r="AP3" s="877"/>
      <c r="AQ3" s="877"/>
      <c r="AR3" s="877"/>
      <c r="AS3" s="877"/>
      <c r="AT3" s="877"/>
      <c r="AU3" s="877"/>
      <c r="AV3" s="877"/>
      <c r="AW3" s="877"/>
      <c r="AX3" s="877"/>
      <c r="AY3" s="877"/>
      <c r="AZ3" s="877"/>
      <c r="BA3" s="877"/>
      <c r="BB3" s="877"/>
      <c r="BC3" s="877"/>
      <c r="BD3" s="877"/>
      <c r="BE3" s="877"/>
      <c r="BF3" s="877"/>
      <c r="BG3" s="877"/>
      <c r="BH3" s="877"/>
      <c r="BI3" s="877"/>
      <c r="BJ3" s="877"/>
      <c r="BK3" s="877"/>
      <c r="BL3" s="877"/>
      <c r="BM3" s="877"/>
      <c r="BN3" s="877"/>
      <c r="BO3" s="877"/>
      <c r="BP3" s="877"/>
      <c r="BQ3" s="877"/>
      <c r="BR3" s="877"/>
      <c r="BS3" s="877"/>
      <c r="BT3" s="877"/>
      <c r="BU3" s="877"/>
      <c r="BV3" s="877"/>
      <c r="BW3" s="877"/>
      <c r="BX3" s="877"/>
      <c r="BY3" s="877"/>
      <c r="BZ3" s="877"/>
      <c r="CA3" s="877"/>
      <c r="CB3" s="877"/>
    </row>
    <row r="4" spans="1:80" ht="16.5">
      <c r="A4" s="499"/>
      <c r="B4" s="502"/>
      <c r="C4" s="503"/>
      <c r="D4" s="503"/>
      <c r="E4" s="503"/>
      <c r="F4" s="503"/>
      <c r="G4" s="503"/>
      <c r="H4" s="503"/>
      <c r="I4" s="503"/>
      <c r="J4" s="503"/>
      <c r="K4" s="503"/>
      <c r="L4" s="503"/>
      <c r="M4" s="503"/>
      <c r="N4" s="503"/>
      <c r="O4" s="503"/>
      <c r="P4" s="503"/>
      <c r="Q4" s="503"/>
      <c r="R4" s="503"/>
      <c r="S4" s="503"/>
      <c r="T4" s="503"/>
      <c r="U4" s="503"/>
      <c r="V4" s="503"/>
      <c r="W4" s="503"/>
      <c r="X4" s="503"/>
      <c r="Y4" s="503"/>
      <c r="Z4" s="503"/>
      <c r="AA4" s="503"/>
      <c r="AB4" s="503"/>
      <c r="AC4" s="503"/>
      <c r="AD4" s="503"/>
      <c r="AE4" s="503"/>
      <c r="AF4" s="503"/>
      <c r="AG4" s="503"/>
      <c r="AH4" s="503"/>
      <c r="AI4" s="503"/>
      <c r="AJ4" s="503"/>
      <c r="AK4" s="503"/>
      <c r="AL4" s="503"/>
      <c r="AM4" s="503"/>
      <c r="AN4" s="503"/>
      <c r="AO4" s="503"/>
      <c r="AP4" s="503"/>
      <c r="AQ4" s="503"/>
      <c r="AR4" s="503"/>
      <c r="AS4" s="503"/>
      <c r="AT4" s="503"/>
      <c r="AU4" s="503"/>
      <c r="AV4" s="503"/>
      <c r="AW4" s="503"/>
      <c r="AX4" s="503"/>
      <c r="AY4" s="503"/>
      <c r="AZ4" s="503"/>
      <c r="BA4" s="503"/>
      <c r="BB4" s="503"/>
      <c r="BC4" s="503"/>
      <c r="BD4" s="503"/>
      <c r="BE4" s="503"/>
      <c r="BF4" s="503"/>
      <c r="BG4" s="503"/>
      <c r="BH4" s="503"/>
      <c r="BI4" s="503"/>
      <c r="BJ4" s="503"/>
      <c r="BK4" s="503"/>
      <c r="BL4" s="503"/>
      <c r="BM4" s="503"/>
      <c r="BN4" s="503"/>
      <c r="BO4" s="503"/>
      <c r="BP4" s="503"/>
      <c r="BQ4" s="503"/>
      <c r="BR4" s="503"/>
      <c r="BS4" s="503"/>
      <c r="BT4" s="503"/>
      <c r="BU4" s="503"/>
      <c r="BV4" s="503"/>
      <c r="BW4" s="503"/>
      <c r="BX4" s="503"/>
      <c r="BY4" s="503"/>
      <c r="BZ4" s="503"/>
      <c r="CA4" s="503"/>
      <c r="CB4" s="503"/>
    </row>
    <row r="5" spans="1:80" ht="16.5">
      <c r="B5" s="876" t="s">
        <v>455</v>
      </c>
      <c r="C5" s="877"/>
      <c r="D5" s="504"/>
      <c r="E5" s="504" t="s">
        <v>456</v>
      </c>
      <c r="F5" s="504" t="s">
        <v>457</v>
      </c>
      <c r="G5" s="504"/>
      <c r="H5" s="504"/>
      <c r="I5" s="867" t="s">
        <v>458</v>
      </c>
      <c r="J5" s="868"/>
      <c r="K5" s="868"/>
      <c r="L5" s="868"/>
      <c r="M5" s="868"/>
      <c r="N5" s="869"/>
      <c r="O5" s="867" t="s">
        <v>459</v>
      </c>
      <c r="P5" s="868"/>
      <c r="Q5" s="868"/>
      <c r="R5" s="868"/>
      <c r="S5" s="868"/>
      <c r="T5" s="869"/>
      <c r="U5" s="867" t="s">
        <v>460</v>
      </c>
      <c r="V5" s="868"/>
      <c r="W5" s="868"/>
      <c r="X5" s="868"/>
      <c r="Y5" s="868"/>
      <c r="Z5" s="869"/>
      <c r="AA5" s="867" t="s">
        <v>461</v>
      </c>
      <c r="AB5" s="868"/>
      <c r="AC5" s="868"/>
      <c r="AD5" s="868"/>
      <c r="AE5" s="868"/>
      <c r="AF5" s="869"/>
      <c r="AG5" s="867" t="s">
        <v>462</v>
      </c>
      <c r="AH5" s="868"/>
      <c r="AI5" s="868"/>
      <c r="AJ5" s="868"/>
      <c r="AK5" s="868"/>
      <c r="AL5" s="869"/>
      <c r="AM5" s="867" t="s">
        <v>463</v>
      </c>
      <c r="AN5" s="868"/>
      <c r="AO5" s="868"/>
      <c r="AP5" s="868"/>
      <c r="AQ5" s="868"/>
      <c r="AR5" s="869"/>
      <c r="AS5" s="867" t="s">
        <v>464</v>
      </c>
      <c r="AT5" s="868"/>
      <c r="AU5" s="868"/>
      <c r="AV5" s="868"/>
      <c r="AW5" s="868"/>
      <c r="AX5" s="869"/>
      <c r="AY5" s="867" t="s">
        <v>465</v>
      </c>
      <c r="AZ5" s="868"/>
      <c r="BA5" s="868"/>
      <c r="BB5" s="868"/>
      <c r="BC5" s="868"/>
      <c r="BD5" s="869"/>
      <c r="BE5" s="867" t="s">
        <v>466</v>
      </c>
      <c r="BF5" s="868"/>
      <c r="BG5" s="868"/>
      <c r="BH5" s="868"/>
      <c r="BI5" s="868"/>
      <c r="BJ5" s="869"/>
      <c r="BK5" s="867" t="s">
        <v>467</v>
      </c>
      <c r="BL5" s="868"/>
      <c r="BM5" s="868"/>
      <c r="BN5" s="868"/>
      <c r="BO5" s="868"/>
      <c r="BP5" s="869"/>
      <c r="BQ5" s="867" t="s">
        <v>468</v>
      </c>
      <c r="BR5" s="868"/>
      <c r="BS5" s="868"/>
      <c r="BT5" s="868"/>
      <c r="BU5" s="868"/>
      <c r="BV5" s="869"/>
      <c r="BW5" s="867" t="s">
        <v>469</v>
      </c>
      <c r="BX5" s="868"/>
      <c r="BY5" s="868"/>
      <c r="BZ5" s="868"/>
      <c r="CA5" s="868"/>
      <c r="CB5" s="869"/>
    </row>
    <row r="6" spans="1:80" ht="17.25" thickBot="1">
      <c r="B6" s="505"/>
      <c r="C6" s="506"/>
      <c r="D6" s="506"/>
      <c r="E6" s="506"/>
      <c r="F6" s="506"/>
      <c r="G6" s="506"/>
      <c r="H6" s="506"/>
      <c r="I6" s="505"/>
      <c r="J6" s="506"/>
      <c r="K6" s="506"/>
      <c r="L6" s="506"/>
      <c r="M6" s="506"/>
      <c r="N6" s="507"/>
      <c r="O6" s="505"/>
      <c r="P6" s="506"/>
      <c r="Q6" s="506"/>
      <c r="R6" s="506"/>
      <c r="S6" s="506"/>
      <c r="T6" s="507"/>
      <c r="U6" s="505"/>
      <c r="V6" s="506"/>
      <c r="W6" s="506"/>
      <c r="X6" s="506"/>
      <c r="Y6" s="506"/>
      <c r="Z6" s="507"/>
      <c r="AA6" s="505"/>
      <c r="AB6" s="506"/>
      <c r="AC6" s="506"/>
      <c r="AD6" s="506"/>
      <c r="AE6" s="506"/>
      <c r="AF6" s="507"/>
      <c r="AG6" s="505"/>
      <c r="AH6" s="506"/>
      <c r="AI6" s="506"/>
      <c r="AJ6" s="506"/>
      <c r="AK6" s="506"/>
      <c r="AL6" s="507"/>
      <c r="AM6" s="505"/>
      <c r="AN6" s="506"/>
      <c r="AO6" s="506"/>
      <c r="AP6" s="506"/>
      <c r="AQ6" s="506"/>
      <c r="AR6" s="507"/>
      <c r="AS6" s="506"/>
      <c r="AT6" s="506"/>
      <c r="AU6" s="506"/>
      <c r="AV6" s="506"/>
      <c r="AW6" s="506"/>
      <c r="AX6" s="507"/>
      <c r="AY6" s="505"/>
      <c r="AZ6" s="506"/>
      <c r="BA6" s="506"/>
      <c r="BB6" s="506"/>
      <c r="BC6" s="506"/>
      <c r="BD6" s="507"/>
      <c r="BE6" s="505"/>
      <c r="BF6" s="506"/>
      <c r="BG6" s="506"/>
      <c r="BH6" s="506"/>
      <c r="BI6" s="506"/>
      <c r="BJ6" s="507"/>
      <c r="BK6" s="505"/>
      <c r="BL6" s="506"/>
      <c r="BM6" s="506"/>
      <c r="BN6" s="506"/>
      <c r="BO6" s="506"/>
      <c r="BP6" s="507"/>
      <c r="BQ6" s="506"/>
      <c r="BR6" s="506"/>
      <c r="BS6" s="506"/>
      <c r="BT6" s="506"/>
      <c r="BU6" s="506"/>
      <c r="BV6" s="507"/>
      <c r="BW6" s="505"/>
      <c r="BX6" s="506"/>
      <c r="BY6" s="506"/>
      <c r="BZ6" s="506"/>
      <c r="CA6" s="506"/>
      <c r="CB6" s="507"/>
    </row>
    <row r="7" spans="1:80" ht="18" thickTop="1" thickBot="1">
      <c r="B7" s="508"/>
      <c r="C7" s="509"/>
      <c r="D7" s="509"/>
      <c r="E7" s="509"/>
      <c r="F7" s="509"/>
      <c r="G7" s="509"/>
      <c r="H7" s="509"/>
      <c r="I7" s="508"/>
      <c r="J7" s="509"/>
      <c r="K7" s="509"/>
      <c r="L7" s="509"/>
      <c r="M7" s="509"/>
      <c r="N7" s="510"/>
      <c r="O7" s="508"/>
      <c r="P7" s="509"/>
      <c r="Q7" s="509"/>
      <c r="R7" s="509"/>
      <c r="S7" s="509"/>
      <c r="T7" s="510"/>
      <c r="U7" s="508"/>
      <c r="V7" s="509"/>
      <c r="W7" s="509"/>
      <c r="X7" s="509"/>
      <c r="Y7" s="509"/>
      <c r="Z7" s="510"/>
      <c r="AA7" s="508"/>
      <c r="AB7" s="509"/>
      <c r="AC7" s="509"/>
      <c r="AD7" s="509"/>
      <c r="AE7" s="509"/>
      <c r="AF7" s="510"/>
      <c r="AG7" s="508"/>
      <c r="AH7" s="509"/>
      <c r="AI7" s="509"/>
      <c r="AJ7" s="509"/>
      <c r="AK7" s="509"/>
      <c r="AL7" s="510"/>
      <c r="AM7" s="508"/>
      <c r="AN7" s="509"/>
      <c r="AO7" s="509"/>
      <c r="AP7" s="509"/>
      <c r="AQ7" s="509"/>
      <c r="AR7" s="510"/>
      <c r="AS7" s="509"/>
      <c r="AT7" s="509"/>
      <c r="AU7" s="509"/>
      <c r="AV7" s="509"/>
      <c r="AW7" s="509"/>
      <c r="AX7" s="510"/>
      <c r="AY7" s="508"/>
      <c r="AZ7" s="509"/>
      <c r="BA7" s="509"/>
      <c r="BB7" s="509"/>
      <c r="BC7" s="509"/>
      <c r="BD7" s="510"/>
      <c r="BE7" s="508"/>
      <c r="BF7" s="509"/>
      <c r="BG7" s="509"/>
      <c r="BH7" s="509"/>
      <c r="BI7" s="509"/>
      <c r="BJ7" s="510"/>
      <c r="BK7" s="508"/>
      <c r="BL7" s="509"/>
      <c r="BM7" s="509"/>
      <c r="BN7" s="509"/>
      <c r="BO7" s="509"/>
      <c r="BP7" s="510"/>
      <c r="BQ7" s="511"/>
      <c r="BR7" s="512"/>
      <c r="BS7" s="512"/>
      <c r="BT7" s="512"/>
      <c r="BU7" s="503"/>
      <c r="BV7" s="513"/>
      <c r="BW7" s="502"/>
      <c r="BX7" s="503"/>
      <c r="BY7" s="503"/>
      <c r="BZ7" s="503"/>
      <c r="CA7" s="512"/>
      <c r="CB7" s="514"/>
    </row>
    <row r="8" spans="1:80" ht="16.5">
      <c r="B8" s="515">
        <v>1</v>
      </c>
      <c r="C8" s="516"/>
      <c r="D8" s="516"/>
      <c r="E8" s="517" t="s">
        <v>105</v>
      </c>
      <c r="F8" s="518"/>
      <c r="G8" s="503"/>
      <c r="H8" s="503"/>
      <c r="I8" s="519"/>
      <c r="J8" s="520"/>
      <c r="K8" s="520"/>
      <c r="L8" s="520"/>
      <c r="M8" s="520"/>
      <c r="N8" s="521"/>
      <c r="O8" s="522"/>
      <c r="P8" s="523"/>
      <c r="Q8" s="523"/>
      <c r="R8" s="523"/>
      <c r="S8" s="523"/>
      <c r="T8" s="524"/>
      <c r="U8" s="522"/>
      <c r="V8" s="523"/>
      <c r="W8" s="523"/>
      <c r="X8" s="523"/>
      <c r="Y8" s="523"/>
      <c r="Z8" s="524"/>
      <c r="AA8" s="522"/>
      <c r="AB8" s="520"/>
      <c r="AC8" s="520"/>
      <c r="AD8" s="523"/>
      <c r="AE8" s="523"/>
      <c r="AF8" s="524"/>
      <c r="AG8" s="522"/>
      <c r="AH8" s="523"/>
      <c r="AI8" s="523"/>
      <c r="AJ8" s="523"/>
      <c r="AK8" s="523"/>
      <c r="AL8" s="524"/>
      <c r="AM8" s="522"/>
      <c r="AN8" s="523"/>
      <c r="AO8" s="523"/>
      <c r="AP8" s="523"/>
      <c r="AQ8" s="523"/>
      <c r="AR8" s="524"/>
      <c r="AS8" s="523"/>
      <c r="AT8" s="523"/>
      <c r="AU8" s="523"/>
      <c r="AV8" s="523"/>
      <c r="AW8" s="523"/>
      <c r="AX8" s="524"/>
      <c r="AY8" s="522"/>
      <c r="AZ8" s="523"/>
      <c r="BA8" s="523"/>
      <c r="BB8" s="523"/>
      <c r="BC8" s="520"/>
      <c r="BD8" s="521"/>
      <c r="BE8" s="525"/>
      <c r="BF8" s="520"/>
      <c r="BG8" s="520"/>
      <c r="BH8" s="520"/>
      <c r="BI8" s="520"/>
      <c r="BJ8" s="513"/>
      <c r="BK8" s="526"/>
      <c r="BL8" s="512"/>
      <c r="BM8" s="512"/>
      <c r="BN8" s="512"/>
      <c r="BO8" s="512"/>
      <c r="BP8" s="513"/>
      <c r="BQ8" s="519"/>
      <c r="BR8" s="527"/>
      <c r="BS8" s="527"/>
      <c r="BT8" s="527"/>
      <c r="BU8" s="527"/>
      <c r="BV8" s="528"/>
      <c r="BW8" s="519"/>
      <c r="BX8" s="527"/>
      <c r="BY8" s="527"/>
      <c r="BZ8" s="527"/>
      <c r="CA8" s="527"/>
      <c r="CB8" s="528"/>
    </row>
    <row r="9" spans="1:80" ht="16.5">
      <c r="B9" s="529"/>
      <c r="C9" s="530"/>
      <c r="D9" s="530"/>
      <c r="E9" s="530"/>
      <c r="F9" s="530"/>
      <c r="G9" s="523"/>
      <c r="H9" s="523"/>
      <c r="I9" s="522"/>
      <c r="J9" s="523"/>
      <c r="K9" s="523"/>
      <c r="L9" s="523"/>
      <c r="M9" s="523"/>
      <c r="N9" s="524"/>
      <c r="O9" s="522"/>
      <c r="P9" s="523"/>
      <c r="Q9" s="523"/>
      <c r="R9" s="523"/>
      <c r="S9" s="523"/>
      <c r="T9" s="524"/>
      <c r="U9" s="522"/>
      <c r="V9" s="523"/>
      <c r="W9" s="523"/>
      <c r="X9" s="523"/>
      <c r="Y9" s="523"/>
      <c r="Z9" s="524"/>
      <c r="AA9" s="522"/>
      <c r="AB9" s="523"/>
      <c r="AC9" s="523"/>
      <c r="AD9" s="523"/>
      <c r="AE9" s="523"/>
      <c r="AF9" s="524"/>
      <c r="AG9" s="522"/>
      <c r="AH9" s="523"/>
      <c r="AI9" s="523"/>
      <c r="AJ9" s="523"/>
      <c r="AK9" s="523"/>
      <c r="AL9" s="524"/>
      <c r="AM9" s="522"/>
      <c r="AN9" s="523"/>
      <c r="AO9" s="523"/>
      <c r="AP9" s="523"/>
      <c r="AQ9" s="523"/>
      <c r="AR9" s="524"/>
      <c r="AS9" s="523"/>
      <c r="AT9" s="523"/>
      <c r="AU9" s="523"/>
      <c r="AV9" s="523"/>
      <c r="AW9" s="523"/>
      <c r="AX9" s="524"/>
      <c r="AY9" s="522"/>
      <c r="AZ9" s="523"/>
      <c r="BA9" s="523"/>
      <c r="BB9" s="523"/>
      <c r="BC9" s="523"/>
      <c r="BD9" s="524"/>
      <c r="BE9" s="522"/>
      <c r="BF9" s="523"/>
      <c r="BG9" s="523"/>
      <c r="BH9" s="523"/>
      <c r="BI9" s="523"/>
      <c r="BJ9" s="524"/>
      <c r="BK9" s="522"/>
      <c r="BL9" s="523"/>
      <c r="BM9" s="523"/>
      <c r="BN9" s="523"/>
      <c r="BO9" s="523"/>
      <c r="BP9" s="524"/>
      <c r="BQ9" s="523"/>
      <c r="BR9" s="523"/>
      <c r="BS9" s="523"/>
      <c r="BT9" s="523"/>
      <c r="BU9" s="523"/>
      <c r="BV9" s="524"/>
      <c r="BW9" s="522"/>
      <c r="BX9" s="523"/>
      <c r="BY9" s="523"/>
      <c r="BZ9" s="523"/>
      <c r="CA9" s="523"/>
      <c r="CB9" s="524"/>
    </row>
    <row r="10" spans="1:80" ht="16.5">
      <c r="B10" s="531"/>
      <c r="C10" s="516" t="s">
        <v>470</v>
      </c>
      <c r="D10" s="847">
        <f>CPU!A2072</f>
        <v>0</v>
      </c>
      <c r="E10" s="847"/>
      <c r="F10" s="532" t="s">
        <v>100</v>
      </c>
      <c r="G10" s="512">
        <f>CPU!H2237</f>
        <v>0</v>
      </c>
      <c r="H10" s="503"/>
      <c r="I10" s="526"/>
      <c r="J10" s="533"/>
      <c r="K10" s="533"/>
      <c r="L10" s="533"/>
      <c r="M10" s="533"/>
      <c r="N10" s="534"/>
      <c r="O10" s="526"/>
      <c r="P10" s="512"/>
      <c r="Q10" s="512"/>
      <c r="R10" s="512"/>
      <c r="S10" s="512"/>
      <c r="T10" s="513"/>
      <c r="U10" s="526"/>
      <c r="V10" s="512"/>
      <c r="W10" s="512"/>
      <c r="X10" s="512"/>
      <c r="Y10" s="512"/>
      <c r="Z10" s="513"/>
      <c r="AA10" s="526"/>
      <c r="AB10" s="512"/>
      <c r="AC10" s="512"/>
      <c r="AD10" s="512"/>
      <c r="AE10" s="512"/>
      <c r="AF10" s="513"/>
      <c r="AG10" s="526"/>
      <c r="AH10" s="512"/>
      <c r="AI10" s="512"/>
      <c r="AJ10" s="512"/>
      <c r="AK10" s="512"/>
      <c r="AL10" s="513"/>
      <c r="AM10" s="526"/>
      <c r="AN10" s="512"/>
      <c r="AO10" s="512"/>
      <c r="AP10" s="512"/>
      <c r="AQ10" s="512"/>
      <c r="AR10" s="513"/>
      <c r="AS10" s="512"/>
      <c r="AT10" s="512"/>
      <c r="AU10" s="512"/>
      <c r="AV10" s="512"/>
      <c r="AW10" s="512"/>
      <c r="AX10" s="513"/>
      <c r="AY10" s="526"/>
      <c r="AZ10" s="512"/>
      <c r="BA10" s="512"/>
      <c r="BB10" s="512"/>
      <c r="BC10" s="512"/>
      <c r="BD10" s="513"/>
      <c r="BE10" s="526"/>
      <c r="BF10" s="512"/>
      <c r="BG10" s="512"/>
      <c r="BH10" s="512"/>
      <c r="BI10" s="512"/>
      <c r="BJ10" s="513"/>
      <c r="BK10" s="526"/>
      <c r="BL10" s="512"/>
      <c r="BM10" s="512"/>
      <c r="BN10" s="512"/>
      <c r="BO10" s="512"/>
      <c r="BP10" s="513"/>
      <c r="BQ10" s="512"/>
      <c r="BR10" s="512"/>
      <c r="BS10" s="512"/>
      <c r="BT10" s="512"/>
      <c r="BU10" s="512"/>
      <c r="BV10" s="513"/>
      <c r="BW10" s="526"/>
      <c r="BX10" s="512"/>
      <c r="BY10" s="512"/>
      <c r="BZ10" s="512"/>
      <c r="CA10" s="512"/>
      <c r="CB10" s="513"/>
    </row>
    <row r="11" spans="1:80" ht="16.5">
      <c r="A11" s="535"/>
      <c r="B11" s="529"/>
      <c r="C11" s="536"/>
      <c r="D11" s="530"/>
      <c r="E11" s="530"/>
      <c r="F11" s="537" t="s">
        <v>171</v>
      </c>
      <c r="G11" s="538">
        <f>SUM(CPU!H2426,CPU!H2426)</f>
        <v>0</v>
      </c>
      <c r="H11" s="523"/>
      <c r="I11" s="844">
        <f>G11</f>
        <v>0</v>
      </c>
      <c r="J11" s="845"/>
      <c r="K11" s="845"/>
      <c r="L11" s="845"/>
      <c r="M11" s="845"/>
      <c r="N11" s="846"/>
      <c r="O11" s="852"/>
      <c r="P11" s="845"/>
      <c r="Q11" s="845"/>
      <c r="R11" s="845"/>
      <c r="S11" s="845"/>
      <c r="T11" s="846"/>
      <c r="U11" s="852"/>
      <c r="V11" s="845"/>
      <c r="W11" s="845"/>
      <c r="X11" s="845"/>
      <c r="Y11" s="845"/>
      <c r="Z11" s="846"/>
      <c r="AA11" s="852"/>
      <c r="AB11" s="845"/>
      <c r="AC11" s="845"/>
      <c r="AD11" s="845"/>
      <c r="AE11" s="845"/>
      <c r="AF11" s="846"/>
      <c r="AG11" s="852"/>
      <c r="AH11" s="845"/>
      <c r="AI11" s="845"/>
      <c r="AJ11" s="845"/>
      <c r="AK11" s="845"/>
      <c r="AL11" s="846"/>
      <c r="AM11" s="852"/>
      <c r="AN11" s="845"/>
      <c r="AO11" s="845"/>
      <c r="AP11" s="845"/>
      <c r="AQ11" s="845"/>
      <c r="AR11" s="846"/>
      <c r="AS11" s="852"/>
      <c r="AT11" s="845"/>
      <c r="AU11" s="845"/>
      <c r="AV11" s="845"/>
      <c r="AW11" s="845"/>
      <c r="AX11" s="846"/>
      <c r="AY11" s="852"/>
      <c r="AZ11" s="845"/>
      <c r="BA11" s="845"/>
      <c r="BB11" s="845"/>
      <c r="BC11" s="845"/>
      <c r="BD11" s="846"/>
      <c r="BE11" s="852"/>
      <c r="BF11" s="845"/>
      <c r="BG11" s="845"/>
      <c r="BH11" s="845"/>
      <c r="BI11" s="845"/>
      <c r="BJ11" s="846"/>
      <c r="BK11" s="852"/>
      <c r="BL11" s="845"/>
      <c r="BM11" s="845"/>
      <c r="BN11" s="845"/>
      <c r="BO11" s="845"/>
      <c r="BP11" s="846"/>
      <c r="BQ11" s="852"/>
      <c r="BR11" s="845"/>
      <c r="BS11" s="845"/>
      <c r="BT11" s="845"/>
      <c r="BU11" s="845"/>
      <c r="BV11" s="846"/>
      <c r="BW11" s="852"/>
      <c r="BX11" s="845"/>
      <c r="BY11" s="845"/>
      <c r="BZ11" s="845"/>
      <c r="CA11" s="845"/>
      <c r="CB11" s="846"/>
    </row>
    <row r="12" spans="1:80" ht="16.5">
      <c r="A12" s="535"/>
      <c r="B12" s="529"/>
      <c r="C12" s="536"/>
      <c r="D12" s="530"/>
      <c r="E12" s="530"/>
      <c r="F12" s="537"/>
      <c r="G12" s="523"/>
      <c r="H12" s="523"/>
      <c r="I12" s="852"/>
      <c r="J12" s="845"/>
      <c r="K12" s="845"/>
      <c r="L12" s="845"/>
      <c r="M12" s="845"/>
      <c r="N12" s="846"/>
      <c r="O12" s="852"/>
      <c r="P12" s="845"/>
      <c r="Q12" s="845"/>
      <c r="R12" s="845"/>
      <c r="S12" s="845"/>
      <c r="T12" s="846"/>
      <c r="U12" s="852"/>
      <c r="V12" s="845"/>
      <c r="W12" s="845"/>
      <c r="X12" s="845"/>
      <c r="Y12" s="845"/>
      <c r="Z12" s="846"/>
      <c r="AA12" s="852"/>
      <c r="AB12" s="845"/>
      <c r="AC12" s="845"/>
      <c r="AD12" s="845"/>
      <c r="AE12" s="845"/>
      <c r="AF12" s="846"/>
      <c r="AG12" s="852"/>
      <c r="AH12" s="845"/>
      <c r="AI12" s="845"/>
      <c r="AJ12" s="845"/>
      <c r="AK12" s="845"/>
      <c r="AL12" s="846"/>
      <c r="AM12" s="852"/>
      <c r="AN12" s="845"/>
      <c r="AO12" s="845"/>
      <c r="AP12" s="845"/>
      <c r="AQ12" s="845"/>
      <c r="AR12" s="846"/>
      <c r="AS12" s="852"/>
      <c r="AT12" s="845"/>
      <c r="AU12" s="845"/>
      <c r="AV12" s="845"/>
      <c r="AW12" s="845"/>
      <c r="AX12" s="846"/>
      <c r="AY12" s="852"/>
      <c r="AZ12" s="845"/>
      <c r="BA12" s="845"/>
      <c r="BB12" s="845"/>
      <c r="BC12" s="845"/>
      <c r="BD12" s="846"/>
      <c r="BE12" s="852"/>
      <c r="BF12" s="845"/>
      <c r="BG12" s="845"/>
      <c r="BH12" s="845"/>
      <c r="BI12" s="845"/>
      <c r="BJ12" s="846"/>
      <c r="BK12" s="852"/>
      <c r="BL12" s="845"/>
      <c r="BM12" s="845"/>
      <c r="BN12" s="845"/>
      <c r="BO12" s="845"/>
      <c r="BP12" s="846"/>
      <c r="BQ12" s="852"/>
      <c r="BR12" s="845"/>
      <c r="BS12" s="845"/>
      <c r="BT12" s="845"/>
      <c r="BU12" s="845"/>
      <c r="BV12" s="846"/>
      <c r="BW12" s="852"/>
      <c r="BX12" s="845"/>
      <c r="BY12" s="845"/>
      <c r="BZ12" s="845"/>
      <c r="CA12" s="845"/>
      <c r="CB12" s="846"/>
    </row>
    <row r="13" spans="1:80" ht="16.5">
      <c r="B13" s="531"/>
      <c r="C13" s="536" t="s">
        <v>471</v>
      </c>
      <c r="D13" s="847">
        <f>CPU!A2141</f>
        <v>0</v>
      </c>
      <c r="E13" s="847"/>
      <c r="F13" s="532" t="s">
        <v>100</v>
      </c>
      <c r="G13" s="512">
        <f>CPU!H2286</f>
        <v>0</v>
      </c>
      <c r="H13" s="503"/>
      <c r="I13" s="526"/>
      <c r="J13" s="512"/>
      <c r="K13" s="512"/>
      <c r="L13" s="512"/>
      <c r="M13" s="512"/>
      <c r="N13" s="513"/>
      <c r="O13" s="526"/>
      <c r="P13" s="512"/>
      <c r="Q13" s="512"/>
      <c r="R13" s="512"/>
      <c r="S13" s="512"/>
      <c r="T13" s="513"/>
      <c r="U13" s="852"/>
      <c r="V13" s="845"/>
      <c r="W13" s="845"/>
      <c r="X13" s="845"/>
      <c r="Y13" s="845"/>
      <c r="Z13" s="846"/>
      <c r="AA13" s="526"/>
      <c r="AB13" s="533"/>
      <c r="AC13" s="533"/>
      <c r="AD13" s="512"/>
      <c r="AE13" s="512"/>
      <c r="AF13" s="513"/>
      <c r="AG13" s="522"/>
      <c r="AH13" s="523"/>
      <c r="AI13" s="523"/>
      <c r="AJ13" s="523"/>
      <c r="AK13" s="523"/>
      <c r="AL13" s="524"/>
      <c r="AM13" s="526"/>
      <c r="AN13" s="512"/>
      <c r="AO13" s="512"/>
      <c r="AP13" s="512"/>
      <c r="AQ13" s="512"/>
      <c r="AR13" s="513"/>
      <c r="AS13" s="512"/>
      <c r="AT13" s="512"/>
      <c r="AU13" s="512"/>
      <c r="AV13" s="512"/>
      <c r="AW13" s="512"/>
      <c r="AX13" s="513"/>
      <c r="AY13" s="526"/>
      <c r="AZ13" s="512"/>
      <c r="BA13" s="512"/>
      <c r="BB13" s="512"/>
      <c r="BC13" s="512"/>
      <c r="BD13" s="513"/>
      <c r="BE13" s="526"/>
      <c r="BF13" s="512"/>
      <c r="BG13" s="512"/>
      <c r="BH13" s="512"/>
      <c r="BI13" s="512"/>
      <c r="BJ13" s="513"/>
      <c r="BK13" s="526"/>
      <c r="BL13" s="512"/>
      <c r="BM13" s="512"/>
      <c r="BN13" s="512"/>
      <c r="BO13" s="512"/>
      <c r="BP13" s="513"/>
      <c r="BQ13" s="512"/>
      <c r="BR13" s="512"/>
      <c r="BS13" s="512"/>
      <c r="BT13" s="512"/>
      <c r="BU13" s="512"/>
      <c r="BV13" s="513"/>
      <c r="BW13" s="526"/>
      <c r="BX13" s="512"/>
      <c r="BY13" s="512"/>
      <c r="BZ13" s="512"/>
      <c r="CA13" s="512"/>
      <c r="CB13" s="513"/>
    </row>
    <row r="14" spans="1:80" ht="16.5">
      <c r="A14" s="535"/>
      <c r="B14" s="529"/>
      <c r="C14" s="536"/>
      <c r="D14" s="530"/>
      <c r="E14" s="530"/>
      <c r="F14" s="537" t="s">
        <v>171</v>
      </c>
      <c r="G14" s="538">
        <f>SUM(CPU!H2434)</f>
        <v>0</v>
      </c>
      <c r="H14" s="523"/>
      <c r="I14" s="852"/>
      <c r="J14" s="845"/>
      <c r="K14" s="845"/>
      <c r="L14" s="845"/>
      <c r="M14" s="845"/>
      <c r="N14" s="846"/>
      <c r="O14" s="852"/>
      <c r="P14" s="845"/>
      <c r="Q14" s="845"/>
      <c r="R14" s="845"/>
      <c r="S14" s="845"/>
      <c r="T14" s="846"/>
      <c r="U14" s="852"/>
      <c r="V14" s="845"/>
      <c r="W14" s="845"/>
      <c r="X14" s="845"/>
      <c r="Y14" s="845"/>
      <c r="Z14" s="846"/>
      <c r="AA14" s="844">
        <f>G14</f>
        <v>0</v>
      </c>
      <c r="AB14" s="845"/>
      <c r="AC14" s="845"/>
      <c r="AD14" s="845"/>
      <c r="AE14" s="845"/>
      <c r="AF14" s="846"/>
      <c r="AG14" s="526"/>
      <c r="AH14" s="512"/>
      <c r="AI14" s="512"/>
      <c r="AJ14" s="512"/>
      <c r="AK14" s="512"/>
      <c r="AL14" s="513"/>
      <c r="AM14" s="852"/>
      <c r="AN14" s="845"/>
      <c r="AO14" s="845"/>
      <c r="AP14" s="845"/>
      <c r="AQ14" s="845"/>
      <c r="AR14" s="846"/>
      <c r="AS14" s="852"/>
      <c r="AT14" s="845"/>
      <c r="AU14" s="845"/>
      <c r="AV14" s="845"/>
      <c r="AW14" s="845"/>
      <c r="AX14" s="846"/>
      <c r="AY14" s="852"/>
      <c r="AZ14" s="845"/>
      <c r="BA14" s="845"/>
      <c r="BB14" s="845"/>
      <c r="BC14" s="845"/>
      <c r="BD14" s="846"/>
      <c r="BE14" s="852"/>
      <c r="BF14" s="845"/>
      <c r="BG14" s="845"/>
      <c r="BH14" s="845"/>
      <c r="BI14" s="845"/>
      <c r="BJ14" s="846"/>
      <c r="BK14" s="852"/>
      <c r="BL14" s="845"/>
      <c r="BM14" s="845"/>
      <c r="BN14" s="845"/>
      <c r="BO14" s="845"/>
      <c r="BP14" s="846"/>
      <c r="BQ14" s="852"/>
      <c r="BR14" s="845"/>
      <c r="BS14" s="845"/>
      <c r="BT14" s="845"/>
      <c r="BU14" s="845"/>
      <c r="BV14" s="846"/>
      <c r="BW14" s="852"/>
      <c r="BX14" s="845"/>
      <c r="BY14" s="845"/>
      <c r="BZ14" s="845"/>
      <c r="CA14" s="845"/>
      <c r="CB14" s="846"/>
    </row>
    <row r="15" spans="1:80" ht="16.5">
      <c r="B15" s="531"/>
      <c r="C15" s="536"/>
      <c r="D15" s="893"/>
      <c r="E15" s="893"/>
      <c r="F15" s="532"/>
      <c r="G15" s="512"/>
      <c r="H15" s="503"/>
      <c r="I15" s="852"/>
      <c r="J15" s="845"/>
      <c r="K15" s="845"/>
      <c r="L15" s="845"/>
      <c r="M15" s="845"/>
      <c r="N15" s="846"/>
      <c r="O15" s="852"/>
      <c r="P15" s="845"/>
      <c r="Q15" s="845"/>
      <c r="R15" s="845"/>
      <c r="S15" s="845"/>
      <c r="T15" s="846"/>
      <c r="U15" s="852"/>
      <c r="V15" s="845"/>
      <c r="W15" s="845"/>
      <c r="X15" s="845"/>
      <c r="Y15" s="845"/>
      <c r="Z15" s="846"/>
      <c r="AA15" s="852"/>
      <c r="AB15" s="845"/>
      <c r="AC15" s="845"/>
      <c r="AD15" s="845"/>
      <c r="AE15" s="845"/>
      <c r="AF15" s="846"/>
      <c r="AG15" s="852"/>
      <c r="AH15" s="845"/>
      <c r="AI15" s="845"/>
      <c r="AJ15" s="845"/>
      <c r="AK15" s="845"/>
      <c r="AL15" s="846"/>
      <c r="AM15" s="852"/>
      <c r="AN15" s="845"/>
      <c r="AO15" s="845"/>
      <c r="AP15" s="845"/>
      <c r="AQ15" s="845"/>
      <c r="AR15" s="846"/>
      <c r="AS15" s="852"/>
      <c r="AT15" s="845"/>
      <c r="AU15" s="845"/>
      <c r="AV15" s="845"/>
      <c r="AW15" s="845"/>
      <c r="AX15" s="846"/>
      <c r="AY15" s="852"/>
      <c r="AZ15" s="845"/>
      <c r="BA15" s="845"/>
      <c r="BB15" s="845"/>
      <c r="BC15" s="845"/>
      <c r="BD15" s="846"/>
      <c r="BE15" s="852"/>
      <c r="BF15" s="845"/>
      <c r="BG15" s="845"/>
      <c r="BH15" s="845"/>
      <c r="BI15" s="845"/>
      <c r="BJ15" s="846"/>
      <c r="BK15" s="852"/>
      <c r="BL15" s="845"/>
      <c r="BM15" s="845"/>
      <c r="BN15" s="845"/>
      <c r="BO15" s="845"/>
      <c r="BP15" s="846"/>
      <c r="BQ15" s="852"/>
      <c r="BR15" s="845"/>
      <c r="BS15" s="845"/>
      <c r="BT15" s="845"/>
      <c r="BU15" s="845"/>
      <c r="BV15" s="846"/>
      <c r="BW15" s="852"/>
      <c r="BX15" s="845"/>
      <c r="BY15" s="845"/>
      <c r="BZ15" s="845"/>
      <c r="CA15" s="845"/>
      <c r="CB15" s="846"/>
    </row>
    <row r="16" spans="1:80" ht="16.5">
      <c r="A16" s="535"/>
      <c r="B16" s="529"/>
      <c r="C16" s="536" t="s">
        <v>472</v>
      </c>
      <c r="D16" s="530" t="s">
        <v>473</v>
      </c>
      <c r="E16" s="530"/>
      <c r="F16" s="537" t="s">
        <v>100</v>
      </c>
      <c r="G16" s="523">
        <f>SUM(CPU!H2385)</f>
        <v>0</v>
      </c>
      <c r="H16" s="523"/>
      <c r="I16" s="522"/>
      <c r="J16" s="523"/>
      <c r="K16" s="523"/>
      <c r="L16" s="523"/>
      <c r="M16" s="523"/>
      <c r="N16" s="524"/>
      <c r="O16" s="522"/>
      <c r="P16" s="523"/>
      <c r="Q16" s="523"/>
      <c r="R16" s="523"/>
      <c r="S16" s="523"/>
      <c r="T16" s="524"/>
      <c r="U16" s="522"/>
      <c r="V16" s="523"/>
      <c r="W16" s="523"/>
      <c r="X16" s="523"/>
      <c r="Y16" s="523"/>
      <c r="Z16" s="524"/>
      <c r="AA16" s="522"/>
      <c r="AB16" s="523"/>
      <c r="AC16" s="523"/>
      <c r="AD16" s="523"/>
      <c r="AE16" s="523"/>
      <c r="AF16" s="524"/>
      <c r="AG16" s="522"/>
      <c r="AH16" s="523"/>
      <c r="AI16" s="523"/>
      <c r="AJ16" s="523"/>
      <c r="AK16" s="523"/>
      <c r="AL16" s="524"/>
      <c r="AM16" s="522"/>
      <c r="AN16" s="523"/>
      <c r="AO16" s="523"/>
      <c r="AP16" s="523"/>
      <c r="AQ16" s="523"/>
      <c r="AR16" s="524"/>
      <c r="AS16" s="523"/>
      <c r="AT16" s="523"/>
      <c r="AU16" s="523"/>
      <c r="AV16" s="523"/>
      <c r="AW16" s="523"/>
      <c r="AX16" s="524"/>
      <c r="AY16" s="522"/>
      <c r="AZ16" s="523"/>
      <c r="BA16" s="523"/>
      <c r="BB16" s="523"/>
      <c r="BC16" s="539"/>
      <c r="BD16" s="540"/>
      <c r="BE16" s="541"/>
      <c r="BF16" s="539"/>
      <c r="BG16" s="539"/>
      <c r="BH16" s="539"/>
      <c r="BI16" s="539"/>
      <c r="BJ16" s="524"/>
      <c r="BK16" s="522"/>
      <c r="BL16" s="523"/>
      <c r="BM16" s="523"/>
      <c r="BN16" s="523"/>
      <c r="BO16" s="523"/>
      <c r="BP16" s="524"/>
      <c r="BQ16" s="523"/>
      <c r="BR16" s="523"/>
      <c r="BS16" s="523"/>
      <c r="BT16" s="523"/>
      <c r="BU16" s="523"/>
      <c r="BV16" s="524"/>
      <c r="BW16" s="522"/>
      <c r="BX16" s="523"/>
      <c r="BY16" s="523"/>
      <c r="BZ16" s="523"/>
      <c r="CA16" s="523"/>
      <c r="CB16" s="524"/>
    </row>
    <row r="17" spans="1:87" ht="16.5">
      <c r="B17" s="531"/>
      <c r="C17" s="536"/>
      <c r="D17" s="893"/>
      <c r="E17" s="893"/>
      <c r="F17" s="532" t="s">
        <v>171</v>
      </c>
      <c r="G17" s="542">
        <f>SUM(CPU!H2443,CPU!H2447)</f>
        <v>0</v>
      </c>
      <c r="H17" s="503"/>
      <c r="I17" s="852"/>
      <c r="J17" s="845"/>
      <c r="K17" s="845"/>
      <c r="L17" s="845"/>
      <c r="M17" s="845"/>
      <c r="N17" s="846"/>
      <c r="O17" s="852"/>
      <c r="P17" s="845"/>
      <c r="Q17" s="845"/>
      <c r="R17" s="845"/>
      <c r="S17" s="845"/>
      <c r="T17" s="846"/>
      <c r="U17" s="852"/>
      <c r="V17" s="845"/>
      <c r="W17" s="845"/>
      <c r="X17" s="845"/>
      <c r="Y17" s="845"/>
      <c r="Z17" s="846"/>
      <c r="AA17" s="852"/>
      <c r="AB17" s="845"/>
      <c r="AC17" s="845"/>
      <c r="AD17" s="845"/>
      <c r="AE17" s="845"/>
      <c r="AF17" s="846"/>
      <c r="AG17" s="852"/>
      <c r="AH17" s="845"/>
      <c r="AI17" s="845"/>
      <c r="AJ17" s="845"/>
      <c r="AK17" s="845"/>
      <c r="AL17" s="846"/>
      <c r="AM17" s="852"/>
      <c r="AN17" s="845"/>
      <c r="AO17" s="845"/>
      <c r="AP17" s="845"/>
      <c r="AQ17" s="845"/>
      <c r="AR17" s="846"/>
      <c r="AS17" s="852"/>
      <c r="AT17" s="845"/>
      <c r="AU17" s="845"/>
      <c r="AV17" s="845"/>
      <c r="AW17" s="845"/>
      <c r="AX17" s="846"/>
      <c r="AY17" s="852"/>
      <c r="AZ17" s="845"/>
      <c r="BA17" s="845"/>
      <c r="BB17" s="845"/>
      <c r="BC17" s="845"/>
      <c r="BD17" s="846"/>
      <c r="BE17" s="844">
        <f>G17</f>
        <v>0</v>
      </c>
      <c r="BF17" s="845"/>
      <c r="BG17" s="845"/>
      <c r="BH17" s="845"/>
      <c r="BI17" s="845"/>
      <c r="BJ17" s="846"/>
      <c r="BK17" s="852"/>
      <c r="BL17" s="845"/>
      <c r="BM17" s="845"/>
      <c r="BN17" s="845"/>
      <c r="BO17" s="845"/>
      <c r="BP17" s="846"/>
      <c r="BQ17" s="852"/>
      <c r="BR17" s="845"/>
      <c r="BS17" s="845"/>
      <c r="BT17" s="845"/>
      <c r="BU17" s="845"/>
      <c r="BV17" s="846"/>
      <c r="BW17" s="852"/>
      <c r="BX17" s="845"/>
      <c r="BY17" s="845"/>
      <c r="BZ17" s="845"/>
      <c r="CA17" s="845"/>
      <c r="CB17" s="846"/>
    </row>
    <row r="18" spans="1:87" ht="16.5">
      <c r="A18" s="535"/>
      <c r="B18" s="529"/>
      <c r="C18" s="536"/>
      <c r="D18" s="530"/>
      <c r="E18" s="530"/>
      <c r="F18" s="537"/>
      <c r="G18" s="523"/>
      <c r="H18" s="523"/>
      <c r="I18" s="852"/>
      <c r="J18" s="845"/>
      <c r="K18" s="845"/>
      <c r="L18" s="845"/>
      <c r="M18" s="845"/>
      <c r="N18" s="846"/>
      <c r="O18" s="852"/>
      <c r="P18" s="845"/>
      <c r="Q18" s="845"/>
      <c r="R18" s="845"/>
      <c r="S18" s="845"/>
      <c r="T18" s="846"/>
      <c r="U18" s="852"/>
      <c r="V18" s="845"/>
      <c r="W18" s="845"/>
      <c r="X18" s="845"/>
      <c r="Y18" s="845"/>
      <c r="Z18" s="846"/>
      <c r="AA18" s="852"/>
      <c r="AB18" s="845"/>
      <c r="AC18" s="845"/>
      <c r="AD18" s="845"/>
      <c r="AE18" s="845"/>
      <c r="AF18" s="846"/>
      <c r="AG18" s="852"/>
      <c r="AH18" s="845"/>
      <c r="AI18" s="845"/>
      <c r="AJ18" s="845"/>
      <c r="AK18" s="845"/>
      <c r="AL18" s="846"/>
      <c r="AM18" s="852"/>
      <c r="AN18" s="845"/>
      <c r="AO18" s="845"/>
      <c r="AP18" s="845"/>
      <c r="AQ18" s="845"/>
      <c r="AR18" s="846"/>
      <c r="AS18" s="852"/>
      <c r="AT18" s="845"/>
      <c r="AU18" s="845"/>
      <c r="AV18" s="845"/>
      <c r="AW18" s="845"/>
      <c r="AX18" s="846"/>
      <c r="AY18" s="852"/>
      <c r="AZ18" s="845"/>
      <c r="BA18" s="845"/>
      <c r="BB18" s="845"/>
      <c r="BC18" s="845"/>
      <c r="BD18" s="846"/>
      <c r="BE18" s="852"/>
      <c r="BF18" s="845"/>
      <c r="BG18" s="845"/>
      <c r="BH18" s="845"/>
      <c r="BI18" s="845"/>
      <c r="BJ18" s="846"/>
      <c r="BK18" s="852"/>
      <c r="BL18" s="845"/>
      <c r="BM18" s="845"/>
      <c r="BN18" s="845"/>
      <c r="BO18" s="845"/>
      <c r="BP18" s="846"/>
      <c r="BQ18" s="852"/>
      <c r="BR18" s="845"/>
      <c r="BS18" s="845"/>
      <c r="BT18" s="845"/>
      <c r="BU18" s="845"/>
      <c r="BV18" s="846"/>
      <c r="BW18" s="852"/>
      <c r="BX18" s="845"/>
      <c r="BY18" s="845"/>
      <c r="BZ18" s="845"/>
      <c r="CA18" s="845"/>
      <c r="CB18" s="846"/>
    </row>
    <row r="19" spans="1:87" ht="17.25" customHeight="1" thickBot="1">
      <c r="B19" s="531"/>
      <c r="C19" s="530"/>
      <c r="D19" s="530"/>
      <c r="E19" s="530"/>
      <c r="F19" s="530"/>
      <c r="G19" s="523"/>
      <c r="H19" s="523"/>
      <c r="I19" s="543"/>
      <c r="J19" s="544"/>
      <c r="K19" s="544"/>
      <c r="L19" s="544"/>
      <c r="M19" s="544"/>
      <c r="N19" s="545"/>
      <c r="O19" s="543"/>
      <c r="P19" s="544"/>
      <c r="Q19" s="544"/>
      <c r="R19" s="544"/>
      <c r="S19" s="544"/>
      <c r="T19" s="545"/>
      <c r="U19" s="526"/>
      <c r="V19" s="512"/>
      <c r="W19" s="512"/>
      <c r="X19" s="512"/>
      <c r="Y19" s="512"/>
      <c r="Z19" s="513"/>
      <c r="AA19" s="526"/>
      <c r="AB19" s="512"/>
      <c r="AC19" s="512"/>
      <c r="AD19" s="512"/>
      <c r="AE19" s="512"/>
      <c r="AF19" s="513"/>
      <c r="AG19" s="526"/>
      <c r="AH19" s="512"/>
      <c r="AI19" s="512"/>
      <c r="AJ19" s="512"/>
      <c r="AK19" s="512"/>
      <c r="AL19" s="513"/>
      <c r="AM19" s="526"/>
      <c r="AN19" s="512"/>
      <c r="AO19" s="512"/>
      <c r="AP19" s="512"/>
      <c r="AQ19" s="512"/>
      <c r="AR19" s="513"/>
      <c r="AS19" s="512"/>
      <c r="AT19" s="512"/>
      <c r="AU19" s="512"/>
      <c r="AV19" s="512"/>
      <c r="AW19" s="512"/>
      <c r="AX19" s="513"/>
      <c r="AY19" s="526"/>
      <c r="AZ19" s="512"/>
      <c r="BA19" s="512"/>
      <c r="BB19" s="512"/>
      <c r="BC19" s="512"/>
      <c r="BD19" s="513"/>
      <c r="BE19" s="526"/>
      <c r="BF19" s="512"/>
      <c r="BG19" s="512"/>
      <c r="BH19" s="512"/>
      <c r="BI19" s="512"/>
      <c r="BJ19" s="513"/>
      <c r="BK19" s="526"/>
      <c r="BL19" s="512"/>
      <c r="BM19" s="512"/>
      <c r="BN19" s="512"/>
      <c r="BO19" s="512"/>
      <c r="BP19" s="513"/>
      <c r="BQ19" s="512"/>
      <c r="BR19" s="512"/>
      <c r="BS19" s="512"/>
      <c r="BT19" s="512"/>
      <c r="BU19" s="512"/>
      <c r="BV19" s="513"/>
      <c r="BW19" s="526"/>
      <c r="BX19" s="512"/>
      <c r="BY19" s="512"/>
      <c r="BZ19" s="512"/>
      <c r="CA19" s="512"/>
      <c r="CB19" s="513"/>
      <c r="CC19" s="546"/>
      <c r="CD19" s="546"/>
      <c r="CE19" s="546"/>
      <c r="CF19" s="546"/>
      <c r="CG19" s="546"/>
      <c r="CH19" s="546"/>
      <c r="CI19" s="546"/>
    </row>
    <row r="20" spans="1:87" ht="18" thickTop="1" thickBot="1">
      <c r="B20" s="547"/>
      <c r="C20" s="548"/>
      <c r="D20" s="548"/>
      <c r="E20" s="548"/>
      <c r="F20" s="549"/>
      <c r="G20" s="550"/>
      <c r="H20" s="550"/>
      <c r="I20" s="551"/>
      <c r="J20" s="550"/>
      <c r="K20" s="550"/>
      <c r="L20" s="550"/>
      <c r="M20" s="550"/>
      <c r="N20" s="552"/>
      <c r="O20" s="551"/>
      <c r="P20" s="550"/>
      <c r="Q20" s="550"/>
      <c r="R20" s="550"/>
      <c r="S20" s="550"/>
      <c r="T20" s="552"/>
      <c r="U20" s="551"/>
      <c r="V20" s="550"/>
      <c r="W20" s="550"/>
      <c r="X20" s="550"/>
      <c r="Y20" s="550"/>
      <c r="Z20" s="552"/>
      <c r="AA20" s="551"/>
      <c r="AB20" s="550"/>
      <c r="AC20" s="550"/>
      <c r="AD20" s="550"/>
      <c r="AE20" s="550"/>
      <c r="AF20" s="552"/>
      <c r="AG20" s="551"/>
      <c r="AH20" s="550"/>
      <c r="AI20" s="550"/>
      <c r="AJ20" s="550"/>
      <c r="AK20" s="550"/>
      <c r="AL20" s="552"/>
      <c r="AM20" s="551"/>
      <c r="AN20" s="550"/>
      <c r="AO20" s="550"/>
      <c r="AP20" s="550"/>
      <c r="AQ20" s="550"/>
      <c r="AR20" s="552"/>
      <c r="AS20" s="550"/>
      <c r="AT20" s="550"/>
      <c r="AU20" s="550"/>
      <c r="AV20" s="550"/>
      <c r="AW20" s="550"/>
      <c r="AX20" s="552"/>
      <c r="AY20" s="551"/>
      <c r="AZ20" s="550"/>
      <c r="BA20" s="550"/>
      <c r="BB20" s="550"/>
      <c r="BC20" s="550"/>
      <c r="BD20" s="552"/>
      <c r="BE20" s="551"/>
      <c r="BF20" s="550"/>
      <c r="BG20" s="550"/>
      <c r="BH20" s="550"/>
      <c r="BI20" s="550"/>
      <c r="BJ20" s="552"/>
      <c r="BK20" s="551"/>
      <c r="BL20" s="550"/>
      <c r="BM20" s="550"/>
      <c r="BN20" s="550"/>
      <c r="BO20" s="550"/>
      <c r="BP20" s="552"/>
      <c r="BQ20" s="550"/>
      <c r="BR20" s="550"/>
      <c r="BS20" s="550"/>
      <c r="BT20" s="550"/>
      <c r="BU20" s="550"/>
      <c r="BV20" s="552"/>
      <c r="BW20" s="551"/>
      <c r="BX20" s="550"/>
      <c r="BY20" s="550"/>
      <c r="BZ20" s="550"/>
      <c r="CA20" s="550"/>
      <c r="CB20" s="552"/>
    </row>
    <row r="21" spans="1:87" ht="16.5">
      <c r="B21" s="515">
        <v>2</v>
      </c>
      <c r="C21" s="892" t="s">
        <v>239</v>
      </c>
      <c r="D21" s="892"/>
      <c r="E21" s="892"/>
      <c r="F21" s="532"/>
      <c r="G21" s="366"/>
      <c r="H21" s="503"/>
      <c r="I21" s="526"/>
      <c r="J21" s="512"/>
      <c r="K21" s="512"/>
      <c r="L21" s="512"/>
      <c r="M21" s="512"/>
      <c r="N21" s="513"/>
      <c r="O21" s="525"/>
      <c r="P21" s="520"/>
      <c r="Q21" s="520"/>
      <c r="R21" s="520"/>
      <c r="S21" s="520"/>
      <c r="T21" s="521"/>
      <c r="U21" s="525"/>
      <c r="V21" s="520"/>
      <c r="W21" s="520"/>
      <c r="X21" s="520"/>
      <c r="Y21" s="520"/>
      <c r="Z21" s="521"/>
      <c r="AA21" s="525"/>
      <c r="AB21" s="520"/>
      <c r="AC21" s="520"/>
      <c r="AD21" s="520"/>
      <c r="AE21" s="520"/>
      <c r="AF21" s="521"/>
      <c r="AG21" s="525"/>
      <c r="AH21" s="520"/>
      <c r="AI21" s="520"/>
      <c r="AJ21" s="520"/>
      <c r="AK21" s="520"/>
      <c r="AL21" s="521"/>
      <c r="AM21" s="525"/>
      <c r="AN21" s="520"/>
      <c r="AO21" s="520"/>
      <c r="AP21" s="520"/>
      <c r="AQ21" s="520"/>
      <c r="AR21" s="521"/>
      <c r="AS21" s="520"/>
      <c r="AT21" s="520"/>
      <c r="AU21" s="520"/>
      <c r="AV21" s="520"/>
      <c r="AW21" s="520"/>
      <c r="AX21" s="521"/>
      <c r="AY21" s="525"/>
      <c r="AZ21" s="520"/>
      <c r="BA21" s="520"/>
      <c r="BB21" s="520"/>
      <c r="BC21" s="520"/>
      <c r="BD21" s="521"/>
      <c r="BE21" s="525"/>
      <c r="BF21" s="520"/>
      <c r="BG21" s="520"/>
      <c r="BH21" s="520"/>
      <c r="BI21" s="520"/>
      <c r="BJ21" s="521"/>
      <c r="BK21" s="525"/>
      <c r="BL21" s="520"/>
      <c r="BM21" s="520"/>
      <c r="BN21" s="520"/>
      <c r="BO21" s="520"/>
      <c r="BP21" s="521"/>
      <c r="BQ21" s="520"/>
      <c r="BR21" s="512"/>
      <c r="BS21" s="512"/>
      <c r="BT21" s="512"/>
      <c r="BU21" s="512"/>
      <c r="BV21" s="513"/>
      <c r="BW21" s="526"/>
      <c r="BX21" s="512"/>
      <c r="BY21" s="512"/>
      <c r="BZ21" s="512"/>
      <c r="CA21" s="512"/>
      <c r="CB21" s="513"/>
    </row>
    <row r="22" spans="1:87" ht="16.5">
      <c r="B22" s="529"/>
      <c r="C22" s="530"/>
      <c r="D22" s="530"/>
      <c r="E22" s="530"/>
      <c r="F22" s="530"/>
      <c r="G22" s="523"/>
      <c r="H22" s="523"/>
      <c r="I22" s="522"/>
      <c r="J22" s="523"/>
      <c r="K22" s="523"/>
      <c r="L22" s="523"/>
      <c r="M22" s="523"/>
      <c r="N22" s="524"/>
      <c r="O22" s="522"/>
      <c r="P22" s="523"/>
      <c r="Q22" s="523"/>
      <c r="R22" s="523"/>
      <c r="S22" s="523"/>
      <c r="T22" s="524"/>
      <c r="U22" s="522"/>
      <c r="V22" s="523"/>
      <c r="W22" s="523"/>
      <c r="X22" s="523"/>
      <c r="Y22" s="523"/>
      <c r="Z22" s="524"/>
      <c r="AA22" s="522"/>
      <c r="AB22" s="523"/>
      <c r="AC22" s="523"/>
      <c r="AD22" s="523"/>
      <c r="AE22" s="523"/>
      <c r="AF22" s="524"/>
      <c r="AG22" s="522"/>
      <c r="AH22" s="523"/>
      <c r="AI22" s="523"/>
      <c r="AJ22" s="523"/>
      <c r="AK22" s="523"/>
      <c r="AL22" s="524"/>
      <c r="AM22" s="522"/>
      <c r="AN22" s="523"/>
      <c r="AO22" s="523"/>
      <c r="AP22" s="523"/>
      <c r="AQ22" s="523"/>
      <c r="AR22" s="524"/>
      <c r="AS22" s="523"/>
      <c r="AT22" s="523"/>
      <c r="AU22" s="523"/>
      <c r="AV22" s="523"/>
      <c r="AW22" s="523"/>
      <c r="AX22" s="524"/>
      <c r="AY22" s="522"/>
      <c r="AZ22" s="523"/>
      <c r="BA22" s="523"/>
      <c r="BB22" s="523"/>
      <c r="BC22" s="523"/>
      <c r="BD22" s="524"/>
      <c r="BE22" s="522"/>
      <c r="BF22" s="523"/>
      <c r="BG22" s="523"/>
      <c r="BH22" s="523"/>
      <c r="BI22" s="523"/>
      <c r="BJ22" s="524"/>
      <c r="BK22" s="522"/>
      <c r="BL22" s="523"/>
      <c r="BM22" s="523"/>
      <c r="BN22" s="523"/>
      <c r="BO22" s="523"/>
      <c r="BP22" s="524"/>
      <c r="BQ22" s="523"/>
      <c r="BR22" s="523"/>
      <c r="BS22" s="523"/>
      <c r="BT22" s="523"/>
      <c r="BU22" s="523"/>
      <c r="BV22" s="524"/>
      <c r="BW22" s="522"/>
      <c r="BX22" s="523"/>
      <c r="BY22" s="523"/>
      <c r="BZ22" s="523"/>
      <c r="CA22" s="523"/>
      <c r="CB22" s="524"/>
    </row>
    <row r="23" spans="1:87" ht="16.5">
      <c r="B23" s="531"/>
      <c r="C23" s="516" t="s">
        <v>474</v>
      </c>
      <c r="D23" s="847">
        <f>D10</f>
        <v>0</v>
      </c>
      <c r="E23" s="847"/>
      <c r="F23" s="532" t="s">
        <v>100</v>
      </c>
      <c r="G23" s="512">
        <f>SUM(CPU!G2185)</f>
        <v>0</v>
      </c>
      <c r="H23" s="503"/>
      <c r="I23" s="526"/>
      <c r="J23" s="512"/>
      <c r="K23" s="512"/>
      <c r="L23" s="512"/>
      <c r="M23" s="512"/>
      <c r="N23" s="513"/>
      <c r="O23" s="541"/>
      <c r="P23" s="539"/>
      <c r="Q23" s="539"/>
      <c r="R23" s="539"/>
      <c r="S23" s="539"/>
      <c r="T23" s="540"/>
      <c r="U23" s="541"/>
      <c r="V23" s="539"/>
      <c r="W23" s="539"/>
      <c r="X23" s="539"/>
      <c r="Y23" s="539"/>
      <c r="Z23" s="540"/>
      <c r="AA23" s="541"/>
      <c r="AB23" s="539"/>
      <c r="AC23" s="539"/>
      <c r="AD23" s="539"/>
      <c r="AE23" s="539"/>
      <c r="AF23" s="540"/>
      <c r="AG23" s="541"/>
      <c r="AH23" s="539"/>
      <c r="AI23" s="539"/>
      <c r="AJ23" s="539"/>
      <c r="AK23" s="539"/>
      <c r="AL23" s="540"/>
      <c r="AM23" s="541"/>
      <c r="AN23" s="539"/>
      <c r="AO23" s="539"/>
      <c r="AP23" s="539"/>
      <c r="AQ23" s="539"/>
      <c r="AR23" s="540"/>
      <c r="AS23" s="539"/>
      <c r="AT23" s="539"/>
      <c r="AU23" s="539"/>
      <c r="AV23" s="539"/>
      <c r="AW23" s="539"/>
      <c r="AX23" s="540"/>
      <c r="AY23" s="541"/>
      <c r="AZ23" s="539"/>
      <c r="BA23" s="539"/>
      <c r="BB23" s="539"/>
      <c r="BC23" s="539"/>
      <c r="BD23" s="540"/>
      <c r="BE23" s="541"/>
      <c r="BF23" s="539"/>
      <c r="BG23" s="539"/>
      <c r="BH23" s="539"/>
      <c r="BI23" s="539"/>
      <c r="BJ23" s="540"/>
      <c r="BK23" s="541"/>
      <c r="BL23" s="539"/>
      <c r="BM23" s="539"/>
      <c r="BN23" s="539"/>
      <c r="BO23" s="539"/>
      <c r="BP23" s="540"/>
      <c r="BQ23" s="539"/>
      <c r="BR23" s="512"/>
      <c r="BS23" s="512"/>
      <c r="BT23" s="512"/>
      <c r="BU23" s="512"/>
      <c r="BV23" s="513"/>
      <c r="BW23" s="526"/>
      <c r="BX23" s="512"/>
      <c r="BY23" s="512"/>
      <c r="BZ23" s="512"/>
      <c r="CA23" s="512"/>
      <c r="CB23" s="513"/>
    </row>
    <row r="24" spans="1:87" ht="16.5">
      <c r="A24" s="535"/>
      <c r="B24" s="529"/>
      <c r="C24" s="536"/>
      <c r="D24" s="530"/>
      <c r="E24" s="530"/>
      <c r="F24" s="537" t="s">
        <v>13</v>
      </c>
      <c r="G24" s="553">
        <f>SUM(CPU!H2076:H2077,CPU!H2084:H2085,CPU!H2092:H2093,CPU!H2100:H2101,CPU!H2108:H2109,CPU!H2124:H2125,CPU!H2132:H2133)</f>
        <v>0</v>
      </c>
      <c r="H24" s="523"/>
      <c r="I24" s="852"/>
      <c r="J24" s="845"/>
      <c r="K24" s="845"/>
      <c r="L24" s="845"/>
      <c r="M24" s="845"/>
      <c r="N24" s="846"/>
      <c r="O24" s="853">
        <f>SUM(Q81:T82,Q86:T87,Q91:T92,Q96:T97,Q101:T102,Q106:T107,Q110:T111)</f>
        <v>9466028000</v>
      </c>
      <c r="P24" s="845"/>
      <c r="Q24" s="845"/>
      <c r="R24" s="845"/>
      <c r="S24" s="845"/>
      <c r="T24" s="846"/>
      <c r="U24" s="853" t="e">
        <f>SUM(W81:Z82,W86:Z87,W91:Z92,W96:Z97,W101:Z102,W106:Z107,W110:Z111)</f>
        <v>#VALUE!</v>
      </c>
      <c r="V24" s="845"/>
      <c r="W24" s="845"/>
      <c r="X24" s="845"/>
      <c r="Y24" s="845"/>
      <c r="Z24" s="846"/>
      <c r="AA24" s="853" t="e">
        <f>SUM(AC81:AF82,AC86:AF87,AC91:AF92,AC96:AF97,AC101:AF102,AC106:AF107,AC110:AF111)</f>
        <v>#VALUE!</v>
      </c>
      <c r="AB24" s="845"/>
      <c r="AC24" s="845"/>
      <c r="AD24" s="845"/>
      <c r="AE24" s="845"/>
      <c r="AF24" s="846"/>
      <c r="AG24" s="853" t="e">
        <f>SUM(AI81:AL82,AI86:AL87,AI91:AL92,AI96:AL97,AI101:AL102,AI106:AL107,AI110:AL111)</f>
        <v>#REF!</v>
      </c>
      <c r="AH24" s="845"/>
      <c r="AI24" s="845"/>
      <c r="AJ24" s="845"/>
      <c r="AK24" s="845"/>
      <c r="AL24" s="846"/>
      <c r="AM24" s="853">
        <f>SUM(AO81:AR82,AO86:AR87,AO91:AR92,AO96:AR97,AO101:AR102,AO106:AR107,AO110:AR111)</f>
        <v>1344946.8969567462</v>
      </c>
      <c r="AN24" s="845"/>
      <c r="AO24" s="845"/>
      <c r="AP24" s="845"/>
      <c r="AQ24" s="845"/>
      <c r="AR24" s="846"/>
      <c r="AS24" s="853">
        <f>SUM(AU81:AX82,AU86:AX87,AU91:AX92,AU96:AX97,AU101:AX102,AU106:AX107,AU110:AX111)</f>
        <v>1344946.8969567462</v>
      </c>
      <c r="AT24" s="845"/>
      <c r="AU24" s="845"/>
      <c r="AV24" s="845"/>
      <c r="AW24" s="845"/>
      <c r="AX24" s="846"/>
      <c r="AY24" s="853" t="e">
        <f>SUM(BA81:BD82,BA86:BD87,BA91:BD92,BA96:BD97,BA101:BD102,BA106:BD107,BA110:BD111)</f>
        <v>#REF!</v>
      </c>
      <c r="AZ24" s="845"/>
      <c r="BA24" s="845"/>
      <c r="BB24" s="845"/>
      <c r="BC24" s="845"/>
      <c r="BD24" s="846"/>
      <c r="BE24" s="853" t="e">
        <f>SUM(BG81:BJ82,BG86:BJ87,BG91:BJ92,BG96:BJ97,BG101:BJ102,BG106:BJ107,BG110:BJ111)</f>
        <v>#REF!</v>
      </c>
      <c r="BF24" s="845"/>
      <c r="BG24" s="845"/>
      <c r="BH24" s="845"/>
      <c r="BI24" s="845"/>
      <c r="BJ24" s="846"/>
      <c r="BK24" s="853" t="e">
        <f>SUM(BM81:BP82,BM86:BP87,BM91:BP92,BM96:BP97,BM101:BP102,BM106:BP107,BM110:BP111)</f>
        <v>#REF!</v>
      </c>
      <c r="BL24" s="845"/>
      <c r="BM24" s="845"/>
      <c r="BN24" s="845"/>
      <c r="BO24" s="845"/>
      <c r="BP24" s="846"/>
      <c r="BQ24" s="853" t="e">
        <f>SUM(BS81:BV82,BS86:BV87,BS91:BV92,BS96:BV97,BS101:BV102,BS106:BV107,BS110:BV111)</f>
        <v>#REF!</v>
      </c>
      <c r="BR24" s="845"/>
      <c r="BS24" s="845"/>
      <c r="BT24" s="845"/>
      <c r="BU24" s="845"/>
      <c r="BV24" s="846"/>
      <c r="BW24" s="853"/>
      <c r="BX24" s="845"/>
      <c r="BY24" s="845"/>
      <c r="BZ24" s="845"/>
      <c r="CA24" s="845"/>
      <c r="CB24" s="846"/>
    </row>
    <row r="25" spans="1:87" ht="16.5">
      <c r="A25" s="535"/>
      <c r="B25" s="529"/>
      <c r="C25" s="536"/>
      <c r="D25" s="530"/>
      <c r="E25" s="530"/>
      <c r="F25" s="537" t="s">
        <v>171</v>
      </c>
      <c r="G25" s="538">
        <f>SUM(CPU!H2474,CPU!H2486)</f>
        <v>0</v>
      </c>
      <c r="H25" s="523"/>
      <c r="I25" s="852"/>
      <c r="J25" s="845"/>
      <c r="K25" s="845"/>
      <c r="L25" s="845"/>
      <c r="M25" s="845"/>
      <c r="N25" s="846"/>
      <c r="O25" s="844">
        <f>SUM(O83,O88,O93,O98,O103,O108,O113)</f>
        <v>0</v>
      </c>
      <c r="P25" s="845"/>
      <c r="Q25" s="845"/>
      <c r="R25" s="845"/>
      <c r="S25" s="845"/>
      <c r="T25" s="846"/>
      <c r="U25" s="844" t="e">
        <f>SUM(U83,U88,U93,U98,U103,U108,U113)</f>
        <v>#VALUE!</v>
      </c>
      <c r="V25" s="845"/>
      <c r="W25" s="845"/>
      <c r="X25" s="845"/>
      <c r="Y25" s="845"/>
      <c r="Z25" s="846"/>
      <c r="AA25" s="844" t="e">
        <f>SUM(AA83,AA88,AA93,AA98,AA103,AA108,AA113)</f>
        <v>#VALUE!</v>
      </c>
      <c r="AB25" s="845"/>
      <c r="AC25" s="845"/>
      <c r="AD25" s="845"/>
      <c r="AE25" s="845"/>
      <c r="AF25" s="846"/>
      <c r="AG25" s="844" t="e">
        <f>SUM(AG83,AG88,AG93,AG98,AG103,AG108,AG113)</f>
        <v>#REF!</v>
      </c>
      <c r="AH25" s="845"/>
      <c r="AI25" s="845"/>
      <c r="AJ25" s="845"/>
      <c r="AK25" s="845"/>
      <c r="AL25" s="846"/>
      <c r="AM25" s="844">
        <f>SUM(AM83,AM88,AM93,AM98,AM103,AM108,AM113)</f>
        <v>30046113.678013712</v>
      </c>
      <c r="AN25" s="845"/>
      <c r="AO25" s="845"/>
      <c r="AP25" s="845"/>
      <c r="AQ25" s="845"/>
      <c r="AR25" s="846"/>
      <c r="AS25" s="844">
        <f>SUM(AS83,AS88,AS93,AS98,AS103,AS108,AS113)</f>
        <v>30046113.678013712</v>
      </c>
      <c r="AT25" s="845"/>
      <c r="AU25" s="845"/>
      <c r="AV25" s="845"/>
      <c r="AW25" s="845"/>
      <c r="AX25" s="846"/>
      <c r="AY25" s="844" t="e">
        <f>SUM(AY83,AY88,AY93,AY98,AY103,AY108,AY113)</f>
        <v>#REF!</v>
      </c>
      <c r="AZ25" s="845"/>
      <c r="BA25" s="845"/>
      <c r="BB25" s="845"/>
      <c r="BC25" s="845"/>
      <c r="BD25" s="846"/>
      <c r="BE25" s="844" t="e">
        <f>SUM(BE83,BE88,BE93,BE98,BE103,BE108,BE113)</f>
        <v>#REF!</v>
      </c>
      <c r="BF25" s="845"/>
      <c r="BG25" s="845"/>
      <c r="BH25" s="845"/>
      <c r="BI25" s="845"/>
      <c r="BJ25" s="846"/>
      <c r="BK25" s="844" t="e">
        <f>SUM(BK83,BK88,BK93,BK98,BK103,BK108,BK113)</f>
        <v>#REF!</v>
      </c>
      <c r="BL25" s="845"/>
      <c r="BM25" s="845"/>
      <c r="BN25" s="845"/>
      <c r="BO25" s="845"/>
      <c r="BP25" s="846"/>
      <c r="BQ25" s="844" t="e">
        <f>SUM(BQ83,BQ88,BQ93,BQ98,BQ103,BQ108,BQ113)</f>
        <v>#REF!</v>
      </c>
      <c r="BR25" s="845"/>
      <c r="BS25" s="845"/>
      <c r="BT25" s="845"/>
      <c r="BU25" s="845"/>
      <c r="BV25" s="846"/>
      <c r="BW25" s="852"/>
      <c r="BX25" s="845"/>
      <c r="BY25" s="845"/>
      <c r="BZ25" s="845"/>
      <c r="CA25" s="845"/>
      <c r="CB25" s="846"/>
    </row>
    <row r="26" spans="1:87" ht="16.5">
      <c r="B26" s="531"/>
      <c r="C26" s="516"/>
      <c r="D26" s="847"/>
      <c r="E26" s="847"/>
      <c r="F26" s="532"/>
      <c r="G26" s="538"/>
      <c r="H26" s="503"/>
      <c r="I26" s="526"/>
      <c r="J26" s="512"/>
      <c r="K26" s="512"/>
      <c r="L26" s="512"/>
      <c r="M26" s="512"/>
      <c r="N26" s="513"/>
      <c r="O26" s="526"/>
      <c r="P26" s="512"/>
      <c r="Q26" s="512"/>
      <c r="R26" s="512"/>
      <c r="S26" s="512"/>
      <c r="T26" s="513"/>
      <c r="U26" s="526"/>
      <c r="V26" s="512"/>
      <c r="W26" s="512"/>
      <c r="X26" s="512"/>
      <c r="Y26" s="512"/>
      <c r="Z26" s="513"/>
      <c r="AA26" s="526"/>
      <c r="AB26" s="512"/>
      <c r="AC26" s="512"/>
      <c r="AD26" s="512"/>
      <c r="AE26" s="512"/>
      <c r="AF26" s="513"/>
      <c r="AG26" s="526"/>
      <c r="AH26" s="512"/>
      <c r="AI26" s="512"/>
      <c r="AJ26" s="512"/>
      <c r="AK26" s="512"/>
      <c r="AL26" s="513"/>
      <c r="AM26" s="526"/>
      <c r="AN26" s="512"/>
      <c r="AO26" s="512"/>
      <c r="AP26" s="512"/>
      <c r="AQ26" s="512"/>
      <c r="AR26" s="513"/>
      <c r="AS26" s="512"/>
      <c r="AT26" s="512"/>
      <c r="AU26" s="512"/>
      <c r="AV26" s="512"/>
      <c r="AW26" s="512"/>
      <c r="AX26" s="513"/>
      <c r="AY26" s="526"/>
      <c r="AZ26" s="512"/>
      <c r="BA26" s="512"/>
      <c r="BB26" s="512"/>
      <c r="BC26" s="512"/>
      <c r="BD26" s="513"/>
      <c r="BE26" s="526"/>
      <c r="BF26" s="512"/>
      <c r="BG26" s="512"/>
      <c r="BH26" s="512"/>
      <c r="BI26" s="512"/>
      <c r="BJ26" s="513"/>
      <c r="BK26" s="526"/>
      <c r="BL26" s="512"/>
      <c r="BM26" s="512"/>
      <c r="BN26" s="512"/>
      <c r="BO26" s="512"/>
      <c r="BP26" s="513"/>
      <c r="BQ26" s="512"/>
      <c r="BR26" s="512"/>
      <c r="BS26" s="512"/>
      <c r="BT26" s="512"/>
      <c r="BU26" s="512"/>
      <c r="BV26" s="513"/>
      <c r="BW26" s="526"/>
      <c r="BX26" s="512"/>
      <c r="BY26" s="512"/>
      <c r="BZ26" s="512"/>
      <c r="CA26" s="512"/>
      <c r="CB26" s="513"/>
    </row>
    <row r="27" spans="1:87" ht="16.5">
      <c r="A27" s="535"/>
      <c r="B27" s="529"/>
      <c r="C27" s="536" t="s">
        <v>475</v>
      </c>
      <c r="D27" s="891">
        <f>D13</f>
        <v>0</v>
      </c>
      <c r="E27" s="890"/>
      <c r="F27" s="537" t="s">
        <v>100</v>
      </c>
      <c r="G27" s="512">
        <f>SUM(CPU!G2186)</f>
        <v>0</v>
      </c>
      <c r="H27" s="523"/>
      <c r="I27" s="522"/>
      <c r="J27" s="523"/>
      <c r="K27" s="523"/>
      <c r="L27" s="523"/>
      <c r="M27" s="523"/>
      <c r="N27" s="524"/>
      <c r="O27" s="522"/>
      <c r="P27" s="523"/>
      <c r="Q27" s="523"/>
      <c r="R27" s="523"/>
      <c r="S27" s="523"/>
      <c r="T27" s="524"/>
      <c r="U27" s="522"/>
      <c r="V27" s="523"/>
      <c r="W27" s="523"/>
      <c r="X27" s="523"/>
      <c r="Y27" s="523"/>
      <c r="Z27" s="524"/>
      <c r="AA27" s="522"/>
      <c r="AB27" s="523"/>
      <c r="AC27" s="523"/>
      <c r="AD27" s="539"/>
      <c r="AE27" s="539"/>
      <c r="AF27" s="540"/>
      <c r="AG27" s="541"/>
      <c r="AH27" s="539"/>
      <c r="AI27" s="539"/>
      <c r="AJ27" s="539"/>
      <c r="AK27" s="539"/>
      <c r="AL27" s="540"/>
      <c r="AM27" s="554"/>
      <c r="AN27" s="555"/>
      <c r="AO27" s="555"/>
      <c r="AP27" s="555"/>
      <c r="AQ27" s="555"/>
      <c r="AR27" s="556"/>
      <c r="AS27" s="554"/>
      <c r="AT27" s="555"/>
      <c r="AU27" s="555"/>
      <c r="AV27" s="555"/>
      <c r="AW27" s="555"/>
      <c r="AX27" s="556"/>
      <c r="AY27" s="554"/>
      <c r="AZ27" s="555"/>
      <c r="BA27" s="555"/>
      <c r="BB27" s="555"/>
      <c r="BC27" s="555"/>
      <c r="BD27" s="556"/>
      <c r="BE27" s="554"/>
      <c r="BF27" s="555"/>
      <c r="BG27" s="555"/>
      <c r="BH27" s="555"/>
      <c r="BI27" s="555"/>
      <c r="BJ27" s="556"/>
      <c r="BK27" s="557"/>
      <c r="BL27" s="558"/>
      <c r="BM27" s="559"/>
      <c r="BN27" s="559"/>
      <c r="BO27" s="559"/>
      <c r="BP27" s="560"/>
      <c r="BQ27" s="554"/>
      <c r="BR27" s="523"/>
      <c r="BS27" s="523"/>
      <c r="BT27" s="523"/>
      <c r="BU27" s="523"/>
      <c r="BV27" s="524"/>
      <c r="BW27" s="522"/>
      <c r="BX27" s="523"/>
      <c r="BY27" s="523"/>
      <c r="BZ27" s="523"/>
      <c r="CA27" s="523"/>
      <c r="CB27" s="524"/>
    </row>
    <row r="28" spans="1:87" ht="16.5">
      <c r="B28" s="529"/>
      <c r="C28" s="530"/>
      <c r="D28" s="530"/>
      <c r="E28" s="530"/>
      <c r="F28" s="537" t="s">
        <v>13</v>
      </c>
      <c r="G28" s="538">
        <f>SUM(CPU!H2145:H2146,CPU!H2153:H2154,CPU!H2161:H2162)</f>
        <v>0</v>
      </c>
      <c r="H28" s="523"/>
      <c r="I28" s="852"/>
      <c r="J28" s="845"/>
      <c r="K28" s="845"/>
      <c r="L28" s="845"/>
      <c r="M28" s="845"/>
      <c r="N28" s="846"/>
      <c r="O28" s="853">
        <f>SUM(Q117:T118,Q122:T123,Q127:T128)</f>
        <v>0</v>
      </c>
      <c r="P28" s="845"/>
      <c r="Q28" s="845"/>
      <c r="R28" s="845"/>
      <c r="S28" s="845"/>
      <c r="T28" s="846"/>
      <c r="U28" s="853">
        <f>SUM(W117:Z118,W122:Z123,W127:Z128)</f>
        <v>0</v>
      </c>
      <c r="V28" s="845"/>
      <c r="W28" s="845"/>
      <c r="X28" s="845"/>
      <c r="Y28" s="845"/>
      <c r="Z28" s="846"/>
      <c r="AA28" s="853">
        <f>SUM(AC117:AF118,AC122:AF123,AC127:AF128)</f>
        <v>89774.260367644776</v>
      </c>
      <c r="AB28" s="845"/>
      <c r="AC28" s="845"/>
      <c r="AD28" s="845"/>
      <c r="AE28" s="845"/>
      <c r="AF28" s="846"/>
      <c r="AG28" s="853">
        <f>SUM(AI117:AL118,AI122:AL123,AI127:AL128)</f>
        <v>190305.45910641359</v>
      </c>
      <c r="AH28" s="845"/>
      <c r="AI28" s="845"/>
      <c r="AJ28" s="845"/>
      <c r="AK28" s="845"/>
      <c r="AL28" s="846"/>
      <c r="AM28" s="853">
        <f>SUM(AO117:AR118,AO122:AR123,AO127:AR128)</f>
        <v>190305.45910641359</v>
      </c>
      <c r="AN28" s="845"/>
      <c r="AO28" s="845"/>
      <c r="AP28" s="845"/>
      <c r="AQ28" s="845"/>
      <c r="AR28" s="846"/>
      <c r="AS28" s="853">
        <f>SUM(AU117:AX118,AU122:AX123,AU127:AX128)</f>
        <v>190305.45910641359</v>
      </c>
      <c r="AT28" s="845"/>
      <c r="AU28" s="845"/>
      <c r="AV28" s="845"/>
      <c r="AW28" s="845"/>
      <c r="AX28" s="846"/>
      <c r="AY28" s="853">
        <f>SUM(BA117:BD118,BA122:BD123,BA127:BD128)</f>
        <v>190305.45910641359</v>
      </c>
      <c r="AZ28" s="845"/>
      <c r="BA28" s="845"/>
      <c r="BB28" s="845"/>
      <c r="BC28" s="845"/>
      <c r="BD28" s="846"/>
      <c r="BE28" s="853" t="e">
        <f>SUM(BG117:BJ118,BG122:BJ123,BG127:BJ128)</f>
        <v>#REF!</v>
      </c>
      <c r="BF28" s="845"/>
      <c r="BG28" s="845"/>
      <c r="BH28" s="845"/>
      <c r="BI28" s="845"/>
      <c r="BJ28" s="846"/>
      <c r="BK28" s="853" t="e">
        <f>SUM(BM117:BP118,BM122:BP123,BM127:BP128)</f>
        <v>#REF!</v>
      </c>
      <c r="BL28" s="845"/>
      <c r="BM28" s="845"/>
      <c r="BN28" s="845"/>
      <c r="BO28" s="845"/>
      <c r="BP28" s="846"/>
      <c r="BQ28" s="853" t="e">
        <f>SUM(BS117:BV118,BS122:BV123,BS127:BV128)</f>
        <v>#REF!</v>
      </c>
      <c r="BR28" s="845"/>
      <c r="BS28" s="845"/>
      <c r="BT28" s="845"/>
      <c r="BU28" s="845"/>
      <c r="BV28" s="846"/>
      <c r="BW28" s="852"/>
      <c r="BX28" s="845"/>
      <c r="BY28" s="845"/>
      <c r="BZ28" s="845"/>
      <c r="CA28" s="845"/>
      <c r="CB28" s="846"/>
    </row>
    <row r="29" spans="1:87" ht="16.5">
      <c r="B29" s="531"/>
      <c r="C29" s="516"/>
      <c r="D29" s="847"/>
      <c r="E29" s="847"/>
      <c r="F29" s="537" t="s">
        <v>171</v>
      </c>
      <c r="G29" s="538">
        <f>SUM(CPU!H2476,CPU!H2488)</f>
        <v>0</v>
      </c>
      <c r="H29" s="503"/>
      <c r="I29" s="852"/>
      <c r="J29" s="845"/>
      <c r="K29" s="845"/>
      <c r="L29" s="845"/>
      <c r="M29" s="845"/>
      <c r="N29" s="846"/>
      <c r="O29" s="844">
        <f>SUM(O119,O124,O129)</f>
        <v>0</v>
      </c>
      <c r="P29" s="845"/>
      <c r="Q29" s="845"/>
      <c r="R29" s="845"/>
      <c r="S29" s="845"/>
      <c r="T29" s="846"/>
      <c r="U29" s="844">
        <f>SUM(U119,U124,U129)</f>
        <v>0</v>
      </c>
      <c r="V29" s="845"/>
      <c r="W29" s="845"/>
      <c r="X29" s="845"/>
      <c r="Y29" s="845"/>
      <c r="Z29" s="846"/>
      <c r="AA29" s="844">
        <f>SUM(AA119,AA124,AA129)</f>
        <v>1834088.1393109828</v>
      </c>
      <c r="AB29" s="845"/>
      <c r="AC29" s="845"/>
      <c r="AD29" s="845"/>
      <c r="AE29" s="845"/>
      <c r="AF29" s="846"/>
      <c r="AG29" s="844">
        <f>SUM(AG119,AG124,AG129)</f>
        <v>3887940.5295440294</v>
      </c>
      <c r="AH29" s="845"/>
      <c r="AI29" s="845"/>
      <c r="AJ29" s="845"/>
      <c r="AK29" s="845"/>
      <c r="AL29" s="846"/>
      <c r="AM29" s="844">
        <f>SUM(AM119,AM124,AM129)</f>
        <v>3887940.5295440294</v>
      </c>
      <c r="AN29" s="845"/>
      <c r="AO29" s="845"/>
      <c r="AP29" s="845"/>
      <c r="AQ29" s="845"/>
      <c r="AR29" s="846"/>
      <c r="AS29" s="844">
        <f>SUM(AS119,AS124,AS129)</f>
        <v>3887940.5295440294</v>
      </c>
      <c r="AT29" s="845"/>
      <c r="AU29" s="845"/>
      <c r="AV29" s="845"/>
      <c r="AW29" s="845"/>
      <c r="AX29" s="846"/>
      <c r="AY29" s="844">
        <f>SUM(AY119,AY124,AY129)</f>
        <v>3887940.5295440294</v>
      </c>
      <c r="AZ29" s="845"/>
      <c r="BA29" s="845"/>
      <c r="BB29" s="845"/>
      <c r="BC29" s="845"/>
      <c r="BD29" s="846"/>
      <c r="BE29" s="844" t="e">
        <f>SUM(BE119,BE124,BE129)</f>
        <v>#REF!</v>
      </c>
      <c r="BF29" s="845"/>
      <c r="BG29" s="845"/>
      <c r="BH29" s="845"/>
      <c r="BI29" s="845"/>
      <c r="BJ29" s="846"/>
      <c r="BK29" s="844" t="e">
        <f>SUM(BK119,BK124,BK129)</f>
        <v>#REF!</v>
      </c>
      <c r="BL29" s="845"/>
      <c r="BM29" s="845"/>
      <c r="BN29" s="845"/>
      <c r="BO29" s="845"/>
      <c r="BP29" s="846"/>
      <c r="BQ29" s="844" t="e">
        <f>SUM(BQ119,BQ124,BQ129)</f>
        <v>#REF!</v>
      </c>
      <c r="BR29" s="845"/>
      <c r="BS29" s="845"/>
      <c r="BT29" s="845"/>
      <c r="BU29" s="845"/>
      <c r="BV29" s="846"/>
      <c r="BW29" s="852"/>
      <c r="BX29" s="845"/>
      <c r="BY29" s="845"/>
      <c r="BZ29" s="845"/>
      <c r="CA29" s="845"/>
      <c r="CB29" s="846"/>
    </row>
    <row r="30" spans="1:87" ht="16.5">
      <c r="A30" s="535"/>
      <c r="B30" s="529"/>
      <c r="C30" s="536"/>
      <c r="D30" s="530"/>
      <c r="E30" s="530"/>
      <c r="F30" s="537"/>
      <c r="G30" s="538"/>
      <c r="H30" s="523"/>
      <c r="I30" s="522"/>
      <c r="J30" s="523"/>
      <c r="K30" s="523"/>
      <c r="L30" s="523"/>
      <c r="M30" s="523"/>
      <c r="N30" s="524"/>
      <c r="O30" s="522"/>
      <c r="P30" s="523"/>
      <c r="Q30" s="523"/>
      <c r="R30" s="523"/>
      <c r="S30" s="523"/>
      <c r="T30" s="524"/>
      <c r="U30" s="522"/>
      <c r="V30" s="523"/>
      <c r="W30" s="523"/>
      <c r="X30" s="523"/>
      <c r="Y30" s="523"/>
      <c r="Z30" s="524"/>
      <c r="AA30" s="522"/>
      <c r="AB30" s="523"/>
      <c r="AC30" s="523"/>
      <c r="AD30" s="523"/>
      <c r="AE30" s="523"/>
      <c r="AF30" s="524"/>
      <c r="AG30" s="522"/>
      <c r="AH30" s="523"/>
      <c r="AI30" s="523"/>
      <c r="AJ30" s="523"/>
      <c r="AK30" s="523"/>
      <c r="AL30" s="524"/>
      <c r="AM30" s="522"/>
      <c r="AN30" s="523"/>
      <c r="AO30" s="523"/>
      <c r="AP30" s="523"/>
      <c r="AQ30" s="523"/>
      <c r="AR30" s="524"/>
      <c r="AS30" s="523"/>
      <c r="AT30" s="523"/>
      <c r="AU30" s="523"/>
      <c r="AV30" s="523"/>
      <c r="AW30" s="523"/>
      <c r="AX30" s="524"/>
      <c r="AY30" s="522"/>
      <c r="AZ30" s="523"/>
      <c r="BA30" s="523"/>
      <c r="BB30" s="523"/>
      <c r="BC30" s="523"/>
      <c r="BD30" s="524"/>
      <c r="BE30" s="522"/>
      <c r="BF30" s="523"/>
      <c r="BG30" s="523"/>
      <c r="BH30" s="523"/>
      <c r="BI30" s="523"/>
      <c r="BJ30" s="524"/>
      <c r="BK30" s="522"/>
      <c r="BL30" s="523"/>
      <c r="BM30" s="523"/>
      <c r="BN30" s="523"/>
      <c r="BO30" s="523"/>
      <c r="BP30" s="524"/>
      <c r="BQ30" s="523"/>
      <c r="BR30" s="523"/>
      <c r="BS30" s="523"/>
      <c r="BT30" s="523"/>
      <c r="BU30" s="523"/>
      <c r="BV30" s="524"/>
      <c r="BW30" s="522"/>
      <c r="BX30" s="523"/>
      <c r="BY30" s="523"/>
      <c r="BZ30" s="523"/>
      <c r="CA30" s="523"/>
      <c r="CB30" s="524"/>
    </row>
    <row r="31" spans="1:87" ht="16.5">
      <c r="B31" s="531"/>
      <c r="C31" s="516" t="s">
        <v>476</v>
      </c>
      <c r="D31" s="847" t="str">
        <f>D16</f>
        <v>DRAGA SR 20"+ 1 Batelão</v>
      </c>
      <c r="E31" s="847"/>
      <c r="F31" s="532" t="s">
        <v>100</v>
      </c>
      <c r="G31" s="512">
        <f>SUM(CPU!G2187)</f>
        <v>0</v>
      </c>
      <c r="H31" s="503"/>
      <c r="I31" s="526"/>
      <c r="J31" s="512"/>
      <c r="K31" s="512"/>
      <c r="L31" s="512"/>
      <c r="M31" s="512"/>
      <c r="N31" s="513"/>
      <c r="O31" s="526"/>
      <c r="P31" s="512"/>
      <c r="Q31" s="512"/>
      <c r="R31" s="512"/>
      <c r="S31" s="512"/>
      <c r="T31" s="513"/>
      <c r="U31" s="526"/>
      <c r="V31" s="512"/>
      <c r="W31" s="512"/>
      <c r="X31" s="512"/>
      <c r="Y31" s="512"/>
      <c r="Z31" s="513"/>
      <c r="AA31" s="526"/>
      <c r="AB31" s="512"/>
      <c r="AC31" s="512"/>
      <c r="AD31" s="512"/>
      <c r="AE31" s="512"/>
      <c r="AF31" s="513"/>
      <c r="AG31" s="526"/>
      <c r="AH31" s="512"/>
      <c r="AI31" s="512"/>
      <c r="AJ31" s="512"/>
      <c r="AK31" s="512"/>
      <c r="AL31" s="513"/>
      <c r="AM31" s="526"/>
      <c r="AN31" s="512"/>
      <c r="AO31" s="512"/>
      <c r="AP31" s="512"/>
      <c r="AQ31" s="512"/>
      <c r="AR31" s="513"/>
      <c r="AS31" s="512"/>
      <c r="AT31" s="512"/>
      <c r="AU31" s="512"/>
      <c r="AV31" s="512"/>
      <c r="AW31" s="512"/>
      <c r="AX31" s="513"/>
      <c r="AY31" s="526"/>
      <c r="AZ31" s="512"/>
      <c r="BA31" s="512"/>
      <c r="BB31" s="512"/>
      <c r="BC31" s="512"/>
      <c r="BD31" s="513"/>
      <c r="BE31" s="526"/>
      <c r="BF31" s="512"/>
      <c r="BG31" s="512"/>
      <c r="BH31" s="533"/>
      <c r="BI31" s="533"/>
      <c r="BJ31" s="534"/>
      <c r="BK31" s="561"/>
      <c r="BL31" s="533"/>
      <c r="BM31" s="533"/>
      <c r="BN31" s="533"/>
      <c r="BO31" s="533"/>
      <c r="BP31" s="534"/>
      <c r="BQ31" s="533"/>
      <c r="BR31" s="512"/>
      <c r="BS31" s="512"/>
      <c r="BT31" s="512"/>
      <c r="BU31" s="512"/>
      <c r="BV31" s="513"/>
      <c r="BW31" s="526"/>
      <c r="BX31" s="512"/>
      <c r="BY31" s="512"/>
      <c r="BZ31" s="512"/>
      <c r="CA31" s="512"/>
      <c r="CB31" s="513"/>
    </row>
    <row r="32" spans="1:87" ht="16.5">
      <c r="A32" s="535"/>
      <c r="B32" s="529"/>
      <c r="C32" s="536"/>
      <c r="D32" s="530"/>
      <c r="E32" s="530"/>
      <c r="F32" s="537" t="s">
        <v>13</v>
      </c>
      <c r="G32" s="538">
        <f>SUM(CPU!H2174:H2175)</f>
        <v>0</v>
      </c>
      <c r="H32" s="523"/>
      <c r="I32" s="852"/>
      <c r="J32" s="845"/>
      <c r="K32" s="845"/>
      <c r="L32" s="845"/>
      <c r="M32" s="845"/>
      <c r="N32" s="846"/>
      <c r="O32" s="853">
        <f>SUM(Q133:T134)</f>
        <v>0</v>
      </c>
      <c r="P32" s="845"/>
      <c r="Q32" s="845"/>
      <c r="R32" s="845"/>
      <c r="S32" s="845"/>
      <c r="T32" s="846"/>
      <c r="U32" s="853">
        <f>SUM(W133:Z134)</f>
        <v>0</v>
      </c>
      <c r="V32" s="845"/>
      <c r="W32" s="845"/>
      <c r="X32" s="845"/>
      <c r="Y32" s="845"/>
      <c r="Z32" s="846"/>
      <c r="AA32" s="853">
        <f>SUM(AC133:AF134)</f>
        <v>0</v>
      </c>
      <c r="AB32" s="845"/>
      <c r="AC32" s="845"/>
      <c r="AD32" s="845"/>
      <c r="AE32" s="845"/>
      <c r="AF32" s="846"/>
      <c r="AG32" s="853">
        <f>SUM(AI133:AL134)</f>
        <v>0</v>
      </c>
      <c r="AH32" s="845"/>
      <c r="AI32" s="845"/>
      <c r="AJ32" s="845"/>
      <c r="AK32" s="845"/>
      <c r="AL32" s="846"/>
      <c r="AM32" s="853">
        <f>SUM(AO133:AR134)</f>
        <v>0</v>
      </c>
      <c r="AN32" s="845"/>
      <c r="AO32" s="845"/>
      <c r="AP32" s="845"/>
      <c r="AQ32" s="845"/>
      <c r="AR32" s="846"/>
      <c r="AS32" s="853">
        <f>SUM(AU133:AX134)</f>
        <v>0</v>
      </c>
      <c r="AT32" s="845"/>
      <c r="AU32" s="845"/>
      <c r="AV32" s="845"/>
      <c r="AW32" s="845"/>
      <c r="AX32" s="846"/>
      <c r="AY32" s="853">
        <f>SUM(BA133:BD134)</f>
        <v>0</v>
      </c>
      <c r="AZ32" s="845"/>
      <c r="BA32" s="845"/>
      <c r="BB32" s="845"/>
      <c r="BC32" s="845"/>
      <c r="BD32" s="846"/>
      <c r="BE32" s="853">
        <f>SUM(BG133:BJ134)</f>
        <v>14250.215740634671</v>
      </c>
      <c r="BF32" s="845"/>
      <c r="BG32" s="845"/>
      <c r="BH32" s="845"/>
      <c r="BI32" s="845"/>
      <c r="BJ32" s="846"/>
      <c r="BK32" s="853">
        <f>SUM(BM133:BP134)</f>
        <v>81600</v>
      </c>
      <c r="BL32" s="845"/>
      <c r="BM32" s="845"/>
      <c r="BN32" s="845"/>
      <c r="BO32" s="845"/>
      <c r="BP32" s="846"/>
      <c r="BQ32" s="853">
        <f>SUM(BS133:BV134)</f>
        <v>16008.378263783916</v>
      </c>
      <c r="BR32" s="845"/>
      <c r="BS32" s="845"/>
      <c r="BT32" s="845"/>
      <c r="BU32" s="845"/>
      <c r="BV32" s="846"/>
      <c r="BW32" s="852"/>
      <c r="BX32" s="845"/>
      <c r="BY32" s="845"/>
      <c r="BZ32" s="845"/>
      <c r="CA32" s="845"/>
      <c r="CB32" s="846"/>
    </row>
    <row r="33" spans="1:87" ht="16.5">
      <c r="A33" s="535"/>
      <c r="B33" s="529"/>
      <c r="C33" s="536"/>
      <c r="D33" s="530"/>
      <c r="E33" s="530"/>
      <c r="F33" s="537" t="s">
        <v>171</v>
      </c>
      <c r="G33" s="538">
        <f>SUM(CPU!H2478,CPU!H2490)</f>
        <v>0</v>
      </c>
      <c r="H33" s="523"/>
      <c r="I33" s="852"/>
      <c r="J33" s="845"/>
      <c r="K33" s="845"/>
      <c r="L33" s="845"/>
      <c r="M33" s="845"/>
      <c r="N33" s="846"/>
      <c r="O33" s="844">
        <f>SUM(O135)</f>
        <v>0</v>
      </c>
      <c r="P33" s="845"/>
      <c r="Q33" s="845"/>
      <c r="R33" s="845"/>
      <c r="S33" s="845"/>
      <c r="T33" s="846"/>
      <c r="U33" s="844">
        <f>SUM(U135)</f>
        <v>0</v>
      </c>
      <c r="V33" s="845"/>
      <c r="W33" s="845"/>
      <c r="X33" s="845"/>
      <c r="Y33" s="845"/>
      <c r="Z33" s="846"/>
      <c r="AA33" s="844">
        <f>SUM(AA135)</f>
        <v>0</v>
      </c>
      <c r="AB33" s="845"/>
      <c r="AC33" s="845"/>
      <c r="AD33" s="845"/>
      <c r="AE33" s="845"/>
      <c r="AF33" s="846"/>
      <c r="AG33" s="844">
        <f>SUM(AG135)</f>
        <v>0</v>
      </c>
      <c r="AH33" s="845"/>
      <c r="AI33" s="845"/>
      <c r="AJ33" s="845"/>
      <c r="AK33" s="845"/>
      <c r="AL33" s="846"/>
      <c r="AM33" s="844">
        <f>SUM(AM135)</f>
        <v>0</v>
      </c>
      <c r="AN33" s="845"/>
      <c r="AO33" s="845"/>
      <c r="AP33" s="845"/>
      <c r="AQ33" s="845"/>
      <c r="AR33" s="846"/>
      <c r="AS33" s="844">
        <f>SUM(AS135)</f>
        <v>0</v>
      </c>
      <c r="AT33" s="845"/>
      <c r="AU33" s="845"/>
      <c r="AV33" s="845"/>
      <c r="AW33" s="845"/>
      <c r="AX33" s="846"/>
      <c r="AY33" s="844">
        <f>SUM(AY135)</f>
        <v>0</v>
      </c>
      <c r="AZ33" s="845"/>
      <c r="BA33" s="845"/>
      <c r="BB33" s="845"/>
      <c r="BC33" s="845"/>
      <c r="BD33" s="846"/>
      <c r="BE33" s="844">
        <f>SUM(BE135)</f>
        <v>505170.1480054991</v>
      </c>
      <c r="BF33" s="845"/>
      <c r="BG33" s="845"/>
      <c r="BH33" s="845"/>
      <c r="BI33" s="845"/>
      <c r="BJ33" s="846"/>
      <c r="BK33" s="844">
        <f>SUM(BK135)</f>
        <v>2892720</v>
      </c>
      <c r="BL33" s="845"/>
      <c r="BM33" s="845"/>
      <c r="BN33" s="845"/>
      <c r="BO33" s="845"/>
      <c r="BP33" s="846"/>
      <c r="BQ33" s="844">
        <f>SUM(BQ135)</f>
        <v>567497.00945113983</v>
      </c>
      <c r="BR33" s="845"/>
      <c r="BS33" s="845"/>
      <c r="BT33" s="845"/>
      <c r="BU33" s="845"/>
      <c r="BV33" s="846"/>
      <c r="BW33" s="852"/>
      <c r="BX33" s="845"/>
      <c r="BY33" s="845"/>
      <c r="BZ33" s="845"/>
      <c r="CA33" s="845"/>
      <c r="CB33" s="846"/>
    </row>
    <row r="34" spans="1:87" ht="16.5">
      <c r="B34" s="529"/>
      <c r="C34" s="516"/>
      <c r="D34" s="847"/>
      <c r="E34" s="847"/>
      <c r="F34" s="532"/>
      <c r="G34" s="512"/>
      <c r="H34" s="503"/>
      <c r="I34" s="852"/>
      <c r="J34" s="845"/>
      <c r="K34" s="845"/>
      <c r="L34" s="845"/>
      <c r="M34" s="845"/>
      <c r="N34" s="846"/>
      <c r="O34" s="852"/>
      <c r="P34" s="845"/>
      <c r="Q34" s="845"/>
      <c r="R34" s="845"/>
      <c r="S34" s="845"/>
      <c r="T34" s="846"/>
      <c r="U34" s="852"/>
      <c r="V34" s="845"/>
      <c r="W34" s="845"/>
      <c r="X34" s="845"/>
      <c r="Y34" s="845"/>
      <c r="Z34" s="846"/>
      <c r="AA34" s="852"/>
      <c r="AB34" s="845"/>
      <c r="AC34" s="845"/>
      <c r="AD34" s="845"/>
      <c r="AE34" s="845"/>
      <c r="AF34" s="846"/>
      <c r="AG34" s="852"/>
      <c r="AH34" s="845"/>
      <c r="AI34" s="845"/>
      <c r="AJ34" s="845"/>
      <c r="AK34" s="845"/>
      <c r="AL34" s="846"/>
      <c r="AM34" s="852"/>
      <c r="AN34" s="845"/>
      <c r="AO34" s="845"/>
      <c r="AP34" s="845"/>
      <c r="AQ34" s="845"/>
      <c r="AR34" s="846"/>
      <c r="AS34" s="852"/>
      <c r="AT34" s="845"/>
      <c r="AU34" s="845"/>
      <c r="AV34" s="845"/>
      <c r="AW34" s="845"/>
      <c r="AX34" s="846"/>
      <c r="AY34" s="852"/>
      <c r="AZ34" s="845"/>
      <c r="BA34" s="845"/>
      <c r="BB34" s="845"/>
      <c r="BC34" s="845"/>
      <c r="BD34" s="846"/>
      <c r="BE34" s="852"/>
      <c r="BF34" s="845"/>
      <c r="BG34" s="845"/>
      <c r="BH34" s="845"/>
      <c r="BI34" s="845"/>
      <c r="BJ34" s="846"/>
      <c r="BK34" s="852"/>
      <c r="BL34" s="845"/>
      <c r="BM34" s="845"/>
      <c r="BN34" s="845"/>
      <c r="BO34" s="845"/>
      <c r="BP34" s="846"/>
      <c r="BQ34" s="852"/>
      <c r="BR34" s="845"/>
      <c r="BS34" s="845"/>
      <c r="BT34" s="845"/>
      <c r="BU34" s="845"/>
      <c r="BV34" s="846"/>
      <c r="BW34" s="852"/>
      <c r="BX34" s="845"/>
      <c r="BY34" s="845"/>
      <c r="BZ34" s="845"/>
      <c r="CA34" s="845"/>
      <c r="CB34" s="846"/>
    </row>
    <row r="35" spans="1:87" ht="17.25" customHeight="1" thickBot="1">
      <c r="B35" s="531"/>
      <c r="C35" s="530"/>
      <c r="D35" s="530"/>
      <c r="E35" s="530"/>
      <c r="F35" s="530"/>
      <c r="G35" s="523"/>
      <c r="H35" s="523"/>
      <c r="I35" s="543"/>
      <c r="J35" s="544"/>
      <c r="K35" s="544"/>
      <c r="L35" s="544"/>
      <c r="M35" s="544"/>
      <c r="N35" s="545"/>
      <c r="O35" s="543"/>
      <c r="P35" s="544"/>
      <c r="Q35" s="544"/>
      <c r="R35" s="544"/>
      <c r="S35" s="544"/>
      <c r="T35" s="545"/>
      <c r="U35" s="526"/>
      <c r="V35" s="512"/>
      <c r="W35" s="512"/>
      <c r="X35" s="512"/>
      <c r="Y35" s="512"/>
      <c r="Z35" s="513"/>
      <c r="AA35" s="526"/>
      <c r="AB35" s="512"/>
      <c r="AC35" s="512"/>
      <c r="AD35" s="512"/>
      <c r="AE35" s="512"/>
      <c r="AF35" s="513"/>
      <c r="AG35" s="526"/>
      <c r="AH35" s="512"/>
      <c r="AI35" s="512"/>
      <c r="AJ35" s="512"/>
      <c r="AK35" s="512"/>
      <c r="AL35" s="513"/>
      <c r="AM35" s="526"/>
      <c r="AN35" s="512"/>
      <c r="AO35" s="512"/>
      <c r="AP35" s="512"/>
      <c r="AQ35" s="512"/>
      <c r="AR35" s="513"/>
      <c r="AS35" s="512"/>
      <c r="AT35" s="512"/>
      <c r="AU35" s="512"/>
      <c r="AV35" s="512"/>
      <c r="AW35" s="512"/>
      <c r="AX35" s="513"/>
      <c r="AY35" s="526"/>
      <c r="AZ35" s="512"/>
      <c r="BA35" s="512"/>
      <c r="BB35" s="512"/>
      <c r="BC35" s="512"/>
      <c r="BD35" s="513"/>
      <c r="BE35" s="526"/>
      <c r="BF35" s="512"/>
      <c r="BG35" s="512"/>
      <c r="BH35" s="512"/>
      <c r="BI35" s="512"/>
      <c r="BJ35" s="513"/>
      <c r="BK35" s="526"/>
      <c r="BL35" s="512"/>
      <c r="BM35" s="512"/>
      <c r="BN35" s="512"/>
      <c r="BO35" s="512"/>
      <c r="BP35" s="513"/>
      <c r="BQ35" s="512"/>
      <c r="BR35" s="512"/>
      <c r="BS35" s="512"/>
      <c r="BT35" s="512"/>
      <c r="BU35" s="512"/>
      <c r="BV35" s="513"/>
      <c r="BW35" s="526"/>
      <c r="BX35" s="512"/>
      <c r="BY35" s="512"/>
      <c r="BZ35" s="512"/>
      <c r="CA35" s="512"/>
      <c r="CB35" s="513"/>
      <c r="CC35" s="546"/>
      <c r="CD35" s="546"/>
      <c r="CE35" s="546"/>
      <c r="CF35" s="546"/>
      <c r="CG35" s="546"/>
      <c r="CH35" s="546"/>
      <c r="CI35" s="546"/>
    </row>
    <row r="36" spans="1:87" ht="18" thickTop="1" thickBot="1">
      <c r="B36" s="547"/>
      <c r="C36" s="548"/>
      <c r="D36" s="548"/>
      <c r="E36" s="548"/>
      <c r="F36" s="549"/>
      <c r="G36" s="550"/>
      <c r="H36" s="550"/>
      <c r="I36" s="551"/>
      <c r="J36" s="550"/>
      <c r="K36" s="550"/>
      <c r="L36" s="550"/>
      <c r="M36" s="550"/>
      <c r="N36" s="552"/>
      <c r="O36" s="551"/>
      <c r="P36" s="550"/>
      <c r="Q36" s="550"/>
      <c r="R36" s="550"/>
      <c r="S36" s="550"/>
      <c r="T36" s="552"/>
      <c r="U36" s="551"/>
      <c r="V36" s="550"/>
      <c r="W36" s="550"/>
      <c r="X36" s="550"/>
      <c r="Y36" s="550"/>
      <c r="Z36" s="552"/>
      <c r="AA36" s="551"/>
      <c r="AB36" s="550"/>
      <c r="AC36" s="550"/>
      <c r="AD36" s="550"/>
      <c r="AE36" s="550"/>
      <c r="AF36" s="552"/>
      <c r="AG36" s="551"/>
      <c r="AH36" s="550"/>
      <c r="AI36" s="550"/>
      <c r="AJ36" s="550"/>
      <c r="AK36" s="550"/>
      <c r="AL36" s="552"/>
      <c r="AM36" s="551"/>
      <c r="AN36" s="550"/>
      <c r="AO36" s="550"/>
      <c r="AP36" s="550"/>
      <c r="AQ36" s="550"/>
      <c r="AR36" s="552"/>
      <c r="AS36" s="550"/>
      <c r="AT36" s="550"/>
      <c r="AU36" s="550"/>
      <c r="AV36" s="550"/>
      <c r="AW36" s="550"/>
      <c r="AX36" s="552"/>
      <c r="AY36" s="551"/>
      <c r="AZ36" s="550"/>
      <c r="BA36" s="550"/>
      <c r="BB36" s="550"/>
      <c r="BC36" s="550"/>
      <c r="BD36" s="552"/>
      <c r="BE36" s="551"/>
      <c r="BF36" s="550"/>
      <c r="BG36" s="550"/>
      <c r="BH36" s="550"/>
      <c r="BI36" s="550"/>
      <c r="BJ36" s="552"/>
      <c r="BK36" s="551"/>
      <c r="BL36" s="550"/>
      <c r="BM36" s="550"/>
      <c r="BN36" s="550"/>
      <c r="BO36" s="550"/>
      <c r="BP36" s="552"/>
      <c r="BQ36" s="550"/>
      <c r="BR36" s="550"/>
      <c r="BS36" s="550"/>
      <c r="BT36" s="550"/>
      <c r="BU36" s="550"/>
      <c r="BV36" s="552"/>
      <c r="BW36" s="551"/>
      <c r="BX36" s="550"/>
      <c r="BY36" s="550"/>
      <c r="BZ36" s="550"/>
      <c r="CA36" s="550"/>
      <c r="CB36" s="552"/>
    </row>
    <row r="37" spans="1:87" ht="16.5">
      <c r="A37" s="562"/>
      <c r="B37" s="515">
        <v>3</v>
      </c>
      <c r="C37" s="892" t="s">
        <v>189</v>
      </c>
      <c r="D37" s="892"/>
      <c r="E37" s="892"/>
      <c r="F37" s="532"/>
      <c r="G37" s="562"/>
      <c r="H37" s="562"/>
      <c r="I37" s="563"/>
      <c r="J37" s="564"/>
      <c r="K37" s="564"/>
      <c r="L37" s="565"/>
      <c r="M37" s="564"/>
      <c r="N37" s="566"/>
      <c r="O37" s="567"/>
      <c r="P37" s="564"/>
      <c r="Q37" s="564"/>
      <c r="R37" s="565"/>
      <c r="S37" s="564"/>
      <c r="T37" s="566"/>
      <c r="U37" s="567"/>
      <c r="V37" s="564"/>
      <c r="W37" s="568"/>
      <c r="X37" s="564"/>
      <c r="Y37" s="564"/>
      <c r="Z37" s="566"/>
      <c r="AA37" s="567"/>
      <c r="AB37" s="564"/>
      <c r="AC37" s="564"/>
      <c r="AD37" s="568"/>
      <c r="AE37" s="564"/>
      <c r="AF37" s="566"/>
      <c r="AG37" s="567"/>
      <c r="AH37" s="564"/>
      <c r="AI37" s="564"/>
      <c r="AJ37" s="564"/>
      <c r="AK37" s="564"/>
      <c r="AL37" s="566"/>
      <c r="AM37" s="567"/>
      <c r="AN37" s="564"/>
      <c r="AO37" s="564"/>
      <c r="AP37" s="564"/>
      <c r="AQ37" s="564"/>
      <c r="AR37" s="566"/>
      <c r="AS37" s="564"/>
      <c r="AT37" s="564"/>
      <c r="AU37" s="564"/>
      <c r="AV37" s="564"/>
      <c r="AW37" s="564"/>
      <c r="AX37" s="566"/>
      <c r="AY37" s="567"/>
      <c r="AZ37" s="564"/>
      <c r="BA37" s="564"/>
      <c r="BB37" s="564"/>
      <c r="BC37" s="564"/>
      <c r="BD37" s="566"/>
      <c r="BE37" s="567"/>
      <c r="BF37" s="565"/>
      <c r="BG37" s="564"/>
      <c r="BH37" s="564"/>
      <c r="BI37" s="564"/>
      <c r="BJ37" s="566"/>
      <c r="BK37" s="567"/>
      <c r="BL37" s="564"/>
      <c r="BM37" s="564"/>
      <c r="BN37" s="564"/>
      <c r="BO37" s="565"/>
      <c r="BP37" s="566"/>
      <c r="BQ37" s="564"/>
      <c r="BR37" s="569"/>
      <c r="BS37" s="569"/>
      <c r="BT37" s="569"/>
      <c r="BU37" s="569"/>
      <c r="BV37" s="570"/>
      <c r="BW37" s="571"/>
      <c r="BX37" s="569"/>
      <c r="BY37" s="565"/>
      <c r="BZ37" s="564"/>
      <c r="CA37" s="564"/>
      <c r="CB37" s="566"/>
    </row>
    <row r="38" spans="1:87" ht="16.5">
      <c r="A38" s="535"/>
      <c r="B38" s="529"/>
      <c r="C38" s="530"/>
      <c r="D38" s="530"/>
      <c r="E38" s="530"/>
      <c r="F38" s="530"/>
      <c r="G38" s="523"/>
      <c r="H38" s="523"/>
      <c r="I38" s="522"/>
      <c r="J38" s="572"/>
      <c r="K38" s="572"/>
      <c r="L38" s="572"/>
      <c r="M38" s="572"/>
      <c r="N38" s="573"/>
      <c r="O38" s="574"/>
      <c r="P38" s="572"/>
      <c r="Q38" s="572"/>
      <c r="R38" s="572"/>
      <c r="S38" s="572"/>
      <c r="T38" s="573"/>
      <c r="U38" s="574"/>
      <c r="V38" s="572"/>
      <c r="W38" s="572"/>
      <c r="X38" s="572"/>
      <c r="Y38" s="572"/>
      <c r="Z38" s="573"/>
      <c r="AA38" s="574"/>
      <c r="AB38" s="572"/>
      <c r="AC38" s="572"/>
      <c r="AD38" s="572"/>
      <c r="AE38" s="572"/>
      <c r="AF38" s="573"/>
      <c r="AG38" s="574"/>
      <c r="AH38" s="572"/>
      <c r="AI38" s="572"/>
      <c r="AJ38" s="572"/>
      <c r="AK38" s="572"/>
      <c r="AL38" s="573"/>
      <c r="AM38" s="574"/>
      <c r="AN38" s="572"/>
      <c r="AO38" s="572"/>
      <c r="AP38" s="572"/>
      <c r="AQ38" s="572"/>
      <c r="AR38" s="573"/>
      <c r="AS38" s="572"/>
      <c r="AT38" s="572"/>
      <c r="AU38" s="572"/>
      <c r="AV38" s="572"/>
      <c r="AW38" s="572"/>
      <c r="AX38" s="573"/>
      <c r="AY38" s="574"/>
      <c r="AZ38" s="572"/>
      <c r="BA38" s="572"/>
      <c r="BB38" s="572"/>
      <c r="BC38" s="572"/>
      <c r="BD38" s="573"/>
      <c r="BE38" s="574"/>
      <c r="BF38" s="572"/>
      <c r="BG38" s="572"/>
      <c r="BH38" s="572"/>
      <c r="BI38" s="572"/>
      <c r="BJ38" s="573"/>
      <c r="BK38" s="574"/>
      <c r="BL38" s="572"/>
      <c r="BM38" s="572"/>
      <c r="BN38" s="572"/>
      <c r="BO38" s="572"/>
      <c r="BP38" s="573"/>
      <c r="BQ38" s="572"/>
      <c r="BR38" s="572"/>
      <c r="BS38" s="572"/>
      <c r="BT38" s="572"/>
      <c r="BU38" s="572"/>
      <c r="BV38" s="573"/>
      <c r="BW38" s="574"/>
      <c r="BX38" s="572"/>
      <c r="BY38" s="572"/>
      <c r="BZ38" s="572"/>
      <c r="CA38" s="572"/>
      <c r="CB38" s="573"/>
    </row>
    <row r="39" spans="1:87" ht="16.5">
      <c r="A39" s="535"/>
      <c r="B39" s="529"/>
      <c r="C39" s="536" t="s">
        <v>477</v>
      </c>
      <c r="D39" s="891">
        <f>D10</f>
        <v>0</v>
      </c>
      <c r="E39" s="890"/>
      <c r="F39" s="537" t="s">
        <v>100</v>
      </c>
      <c r="G39" s="523">
        <f>SUM(CPU!H2239)</f>
        <v>0</v>
      </c>
      <c r="H39" s="575"/>
      <c r="I39" s="522"/>
      <c r="J39" s="572"/>
      <c r="K39" s="572"/>
      <c r="L39" s="572"/>
      <c r="M39" s="572"/>
      <c r="N39" s="573"/>
      <c r="O39" s="574"/>
      <c r="P39" s="572"/>
      <c r="Q39" s="572"/>
      <c r="R39" s="572"/>
      <c r="S39" s="572"/>
      <c r="T39" s="573"/>
      <c r="U39" s="574"/>
      <c r="V39" s="572"/>
      <c r="W39" s="576"/>
      <c r="X39" s="572"/>
      <c r="Y39" s="572"/>
      <c r="Z39" s="573"/>
      <c r="AA39" s="574"/>
      <c r="AB39" s="572"/>
      <c r="AC39" s="572"/>
      <c r="AD39" s="576"/>
      <c r="AE39" s="572"/>
      <c r="AF39" s="573"/>
      <c r="AG39" s="574"/>
      <c r="AH39" s="572"/>
      <c r="AI39" s="572"/>
      <c r="AJ39" s="572"/>
      <c r="AK39" s="572"/>
      <c r="AL39" s="573"/>
      <c r="AM39" s="574"/>
      <c r="AN39" s="572"/>
      <c r="AO39" s="572"/>
      <c r="AP39" s="572"/>
      <c r="AQ39" s="572"/>
      <c r="AR39" s="573"/>
      <c r="AS39" s="572"/>
      <c r="AT39" s="572"/>
      <c r="AU39" s="572"/>
      <c r="AV39" s="572"/>
      <c r="AW39" s="572"/>
      <c r="AX39" s="573"/>
      <c r="AY39" s="574"/>
      <c r="AZ39" s="572"/>
      <c r="BA39" s="572"/>
      <c r="BB39" s="572"/>
      <c r="BC39" s="572"/>
      <c r="BD39" s="573"/>
      <c r="BE39" s="574"/>
      <c r="BF39" s="572"/>
      <c r="BG39" s="572"/>
      <c r="BH39" s="572"/>
      <c r="BI39" s="572"/>
      <c r="BJ39" s="573"/>
      <c r="BK39" s="574"/>
      <c r="BL39" s="572"/>
      <c r="BM39" s="572"/>
      <c r="BN39" s="572"/>
      <c r="BO39" s="572"/>
      <c r="BP39" s="573"/>
      <c r="BQ39" s="572"/>
      <c r="BR39" s="577"/>
      <c r="BS39" s="577"/>
      <c r="BT39" s="577"/>
      <c r="BU39" s="577"/>
      <c r="BV39" s="578"/>
      <c r="BW39" s="574"/>
      <c r="BX39" s="572"/>
      <c r="BY39" s="572"/>
      <c r="BZ39" s="572"/>
      <c r="CA39" s="572"/>
      <c r="CB39" s="573"/>
    </row>
    <row r="40" spans="1:87" ht="16.5">
      <c r="A40" s="535"/>
      <c r="B40" s="529"/>
      <c r="C40" s="536"/>
      <c r="D40" s="579"/>
      <c r="E40" s="579"/>
      <c r="F40" s="537" t="s">
        <v>171</v>
      </c>
      <c r="G40" s="538">
        <f>SUM(CPU!H2428,CPU!H2428)</f>
        <v>0</v>
      </c>
      <c r="H40" s="575"/>
      <c r="I40" s="852"/>
      <c r="J40" s="845"/>
      <c r="K40" s="845"/>
      <c r="L40" s="845"/>
      <c r="M40" s="845"/>
      <c r="N40" s="846"/>
      <c r="O40" s="852"/>
      <c r="P40" s="845"/>
      <c r="Q40" s="845"/>
      <c r="R40" s="845"/>
      <c r="S40" s="845"/>
      <c r="T40" s="846"/>
      <c r="U40" s="852"/>
      <c r="V40" s="845"/>
      <c r="W40" s="845"/>
      <c r="X40" s="845"/>
      <c r="Y40" s="845"/>
      <c r="Z40" s="846"/>
      <c r="AA40" s="852"/>
      <c r="AB40" s="845"/>
      <c r="AC40" s="845"/>
      <c r="AD40" s="845"/>
      <c r="AE40" s="845"/>
      <c r="AF40" s="846"/>
      <c r="AG40" s="852"/>
      <c r="AH40" s="845"/>
      <c r="AI40" s="845"/>
      <c r="AJ40" s="845"/>
      <c r="AK40" s="845"/>
      <c r="AL40" s="846"/>
      <c r="AM40" s="852"/>
      <c r="AN40" s="845"/>
      <c r="AO40" s="845"/>
      <c r="AP40" s="845"/>
      <c r="AQ40" s="845"/>
      <c r="AR40" s="846"/>
      <c r="AS40" s="852"/>
      <c r="AT40" s="845"/>
      <c r="AU40" s="845"/>
      <c r="AV40" s="845"/>
      <c r="AW40" s="845"/>
      <c r="AX40" s="846"/>
      <c r="AY40" s="852"/>
      <c r="AZ40" s="845"/>
      <c r="BA40" s="845"/>
      <c r="BB40" s="845"/>
      <c r="BC40" s="845"/>
      <c r="BD40" s="846"/>
      <c r="BE40" s="852"/>
      <c r="BF40" s="845"/>
      <c r="BG40" s="845"/>
      <c r="BH40" s="845"/>
      <c r="BI40" s="845"/>
      <c r="BJ40" s="846"/>
      <c r="BK40" s="852"/>
      <c r="BL40" s="845"/>
      <c r="BM40" s="845"/>
      <c r="BN40" s="845"/>
      <c r="BO40" s="845"/>
      <c r="BP40" s="846"/>
      <c r="BQ40" s="844">
        <f>G40</f>
        <v>0</v>
      </c>
      <c r="BR40" s="845"/>
      <c r="BS40" s="845"/>
      <c r="BT40" s="845"/>
      <c r="BU40" s="845"/>
      <c r="BV40" s="846"/>
      <c r="BW40" s="852"/>
      <c r="BX40" s="845"/>
      <c r="BY40" s="845"/>
      <c r="BZ40" s="845"/>
      <c r="CA40" s="845"/>
      <c r="CB40" s="846"/>
    </row>
    <row r="41" spans="1:87" ht="16.5" customHeight="1">
      <c r="A41" s="535"/>
      <c r="B41" s="529"/>
      <c r="C41" s="530"/>
      <c r="D41" s="530"/>
      <c r="E41" s="530"/>
      <c r="F41" s="537"/>
      <c r="G41" s="523"/>
      <c r="H41" s="523"/>
      <c r="I41" s="852"/>
      <c r="J41" s="845"/>
      <c r="K41" s="845"/>
      <c r="L41" s="845"/>
      <c r="M41" s="845"/>
      <c r="N41" s="846"/>
      <c r="O41" s="852"/>
      <c r="P41" s="845"/>
      <c r="Q41" s="845"/>
      <c r="R41" s="845"/>
      <c r="S41" s="845"/>
      <c r="T41" s="846"/>
      <c r="U41" s="852"/>
      <c r="V41" s="845"/>
      <c r="W41" s="845"/>
      <c r="X41" s="845"/>
      <c r="Y41" s="845"/>
      <c r="Z41" s="846"/>
      <c r="AA41" s="852"/>
      <c r="AB41" s="845"/>
      <c r="AC41" s="845"/>
      <c r="AD41" s="845"/>
      <c r="AE41" s="845"/>
      <c r="AF41" s="846"/>
      <c r="AG41" s="852"/>
      <c r="AH41" s="845"/>
      <c r="AI41" s="845"/>
      <c r="AJ41" s="845"/>
      <c r="AK41" s="845"/>
      <c r="AL41" s="846"/>
      <c r="AM41" s="852"/>
      <c r="AN41" s="845"/>
      <c r="AO41" s="845"/>
      <c r="AP41" s="845"/>
      <c r="AQ41" s="845"/>
      <c r="AR41" s="846"/>
      <c r="AS41" s="852"/>
      <c r="AT41" s="845"/>
      <c r="AU41" s="845"/>
      <c r="AV41" s="845"/>
      <c r="AW41" s="845"/>
      <c r="AX41" s="846"/>
      <c r="AY41" s="852"/>
      <c r="AZ41" s="845"/>
      <c r="BA41" s="845"/>
      <c r="BB41" s="845"/>
      <c r="BC41" s="845"/>
      <c r="BD41" s="846"/>
      <c r="BE41" s="852"/>
      <c r="BF41" s="845"/>
      <c r="BG41" s="845"/>
      <c r="BH41" s="845"/>
      <c r="BI41" s="845"/>
      <c r="BJ41" s="846"/>
      <c r="BK41" s="852"/>
      <c r="BL41" s="845"/>
      <c r="BM41" s="845"/>
      <c r="BN41" s="845"/>
      <c r="BO41" s="845"/>
      <c r="BP41" s="846"/>
      <c r="BQ41" s="852"/>
      <c r="BR41" s="845"/>
      <c r="BS41" s="845"/>
      <c r="BT41" s="845"/>
      <c r="BU41" s="845"/>
      <c r="BV41" s="846"/>
      <c r="BW41" s="852"/>
      <c r="BX41" s="845"/>
      <c r="BY41" s="845"/>
      <c r="BZ41" s="845"/>
      <c r="CA41" s="845"/>
      <c r="CB41" s="846"/>
    </row>
    <row r="42" spans="1:87" ht="16.5">
      <c r="A42" s="535"/>
      <c r="B42" s="529"/>
      <c r="C42" s="536" t="s">
        <v>478</v>
      </c>
      <c r="D42" s="891">
        <f>D13</f>
        <v>0</v>
      </c>
      <c r="E42" s="890"/>
      <c r="F42" s="537" t="s">
        <v>100</v>
      </c>
      <c r="G42" s="523">
        <f>SUM(CPU!H2288)</f>
        <v>0</v>
      </c>
      <c r="H42" s="575"/>
      <c r="I42" s="522"/>
      <c r="J42" s="572"/>
      <c r="K42" s="572"/>
      <c r="L42" s="572"/>
      <c r="M42" s="572"/>
      <c r="N42" s="573"/>
      <c r="O42" s="574"/>
      <c r="P42" s="572"/>
      <c r="Q42" s="572"/>
      <c r="R42" s="572"/>
      <c r="S42" s="572"/>
      <c r="T42" s="573"/>
      <c r="U42" s="574"/>
      <c r="V42" s="572"/>
      <c r="W42" s="572"/>
      <c r="X42" s="572"/>
      <c r="Y42" s="572"/>
      <c r="Z42" s="573"/>
      <c r="AA42" s="574"/>
      <c r="AB42" s="572"/>
      <c r="AC42" s="572"/>
      <c r="AD42" s="572"/>
      <c r="AE42" s="572"/>
      <c r="AF42" s="573"/>
      <c r="AG42" s="574"/>
      <c r="AH42" s="572"/>
      <c r="AI42" s="572"/>
      <c r="AJ42" s="572"/>
      <c r="AK42" s="572"/>
      <c r="AL42" s="573"/>
      <c r="AM42" s="574"/>
      <c r="AN42" s="572"/>
      <c r="AO42" s="572"/>
      <c r="AP42" s="572"/>
      <c r="AQ42" s="572"/>
      <c r="AR42" s="573"/>
      <c r="AS42" s="572"/>
      <c r="AT42" s="572"/>
      <c r="AU42" s="572"/>
      <c r="AV42" s="572"/>
      <c r="AW42" s="572"/>
      <c r="AX42" s="573"/>
      <c r="AY42" s="574"/>
      <c r="AZ42" s="572"/>
      <c r="BA42" s="572"/>
      <c r="BB42" s="572"/>
      <c r="BC42" s="572"/>
      <c r="BD42" s="573"/>
      <c r="BE42" s="574"/>
      <c r="BF42" s="572"/>
      <c r="BG42" s="572"/>
      <c r="BH42" s="572"/>
      <c r="BI42" s="572"/>
      <c r="BJ42" s="573"/>
      <c r="BK42" s="574"/>
      <c r="BL42" s="572"/>
      <c r="BM42" s="572"/>
      <c r="BN42" s="572"/>
      <c r="BO42" s="572"/>
      <c r="BP42" s="573"/>
      <c r="BQ42" s="572"/>
      <c r="BR42" s="577"/>
      <c r="BS42" s="577"/>
      <c r="BT42" s="577"/>
      <c r="BU42" s="572"/>
      <c r="BV42" s="573"/>
      <c r="BW42" s="574"/>
      <c r="BX42" s="572"/>
      <c r="BY42" s="572"/>
      <c r="BZ42" s="572"/>
      <c r="CA42" s="572"/>
      <c r="CB42" s="573"/>
    </row>
    <row r="43" spans="1:87" ht="16.5">
      <c r="A43" s="535"/>
      <c r="B43" s="529"/>
      <c r="C43" s="536"/>
      <c r="D43" s="579"/>
      <c r="E43" s="579"/>
      <c r="F43" s="537" t="s">
        <v>171</v>
      </c>
      <c r="G43" s="538">
        <f>SUM(CPU!H2436)</f>
        <v>0</v>
      </c>
      <c r="H43" s="575"/>
      <c r="I43" s="852"/>
      <c r="J43" s="845"/>
      <c r="K43" s="845"/>
      <c r="L43" s="845"/>
      <c r="M43" s="845"/>
      <c r="N43" s="846"/>
      <c r="O43" s="852"/>
      <c r="P43" s="845"/>
      <c r="Q43" s="845"/>
      <c r="R43" s="845"/>
      <c r="S43" s="845"/>
      <c r="T43" s="846"/>
      <c r="U43" s="852"/>
      <c r="V43" s="845"/>
      <c r="W43" s="845"/>
      <c r="X43" s="845"/>
      <c r="Y43" s="845"/>
      <c r="Z43" s="846"/>
      <c r="AA43" s="852"/>
      <c r="AB43" s="845"/>
      <c r="AC43" s="845"/>
      <c r="AD43" s="845"/>
      <c r="AE43" s="845"/>
      <c r="AF43" s="846"/>
      <c r="AG43" s="852"/>
      <c r="AH43" s="845"/>
      <c r="AI43" s="845"/>
      <c r="AJ43" s="845"/>
      <c r="AK43" s="845"/>
      <c r="AL43" s="846"/>
      <c r="AM43" s="852"/>
      <c r="AN43" s="845"/>
      <c r="AO43" s="845"/>
      <c r="AP43" s="845"/>
      <c r="AQ43" s="845"/>
      <c r="AR43" s="846"/>
      <c r="AS43" s="852"/>
      <c r="AT43" s="845"/>
      <c r="AU43" s="845"/>
      <c r="AV43" s="845"/>
      <c r="AW43" s="845"/>
      <c r="AX43" s="846"/>
      <c r="AY43" s="852"/>
      <c r="AZ43" s="845"/>
      <c r="BA43" s="845"/>
      <c r="BB43" s="845"/>
      <c r="BC43" s="845"/>
      <c r="BD43" s="846"/>
      <c r="BE43" s="852"/>
      <c r="BF43" s="845"/>
      <c r="BG43" s="845"/>
      <c r="BH43" s="845"/>
      <c r="BI43" s="845"/>
      <c r="BJ43" s="846"/>
      <c r="BK43" s="852"/>
      <c r="BL43" s="845"/>
      <c r="BM43" s="845"/>
      <c r="BN43" s="845"/>
      <c r="BO43" s="845"/>
      <c r="BP43" s="846"/>
      <c r="BQ43" s="844">
        <f>G43</f>
        <v>0</v>
      </c>
      <c r="BR43" s="845"/>
      <c r="BS43" s="845"/>
      <c r="BT43" s="845"/>
      <c r="BU43" s="845"/>
      <c r="BV43" s="846"/>
      <c r="BW43" s="852"/>
      <c r="BX43" s="845"/>
      <c r="BY43" s="845"/>
      <c r="BZ43" s="845"/>
      <c r="CA43" s="845"/>
      <c r="CB43" s="846"/>
    </row>
    <row r="44" spans="1:87" ht="16.5">
      <c r="B44" s="529"/>
      <c r="C44" s="530"/>
      <c r="D44" s="530"/>
      <c r="E44" s="530"/>
      <c r="F44" s="537"/>
      <c r="G44" s="523"/>
      <c r="H44" s="523"/>
      <c r="I44" s="852"/>
      <c r="J44" s="845"/>
      <c r="K44" s="845"/>
      <c r="L44" s="845"/>
      <c r="M44" s="845"/>
      <c r="N44" s="846"/>
      <c r="O44" s="852"/>
      <c r="P44" s="845"/>
      <c r="Q44" s="845"/>
      <c r="R44" s="845"/>
      <c r="S44" s="845"/>
      <c r="T44" s="846"/>
      <c r="U44" s="852"/>
      <c r="V44" s="845"/>
      <c r="W44" s="845"/>
      <c r="X44" s="845"/>
      <c r="Y44" s="845"/>
      <c r="Z44" s="846"/>
      <c r="AA44" s="852"/>
      <c r="AB44" s="845"/>
      <c r="AC44" s="845"/>
      <c r="AD44" s="845"/>
      <c r="AE44" s="845"/>
      <c r="AF44" s="846"/>
      <c r="AG44" s="852"/>
      <c r="AH44" s="845"/>
      <c r="AI44" s="845"/>
      <c r="AJ44" s="845"/>
      <c r="AK44" s="845"/>
      <c r="AL44" s="846"/>
      <c r="AM44" s="852"/>
      <c r="AN44" s="845"/>
      <c r="AO44" s="845"/>
      <c r="AP44" s="845"/>
      <c r="AQ44" s="845"/>
      <c r="AR44" s="846"/>
      <c r="AS44" s="852"/>
      <c r="AT44" s="845"/>
      <c r="AU44" s="845"/>
      <c r="AV44" s="845"/>
      <c r="AW44" s="845"/>
      <c r="AX44" s="846"/>
      <c r="AY44" s="852"/>
      <c r="AZ44" s="845"/>
      <c r="BA44" s="845"/>
      <c r="BB44" s="845"/>
      <c r="BC44" s="845"/>
      <c r="BD44" s="846"/>
      <c r="BE44" s="852"/>
      <c r="BF44" s="845"/>
      <c r="BG44" s="845"/>
      <c r="BH44" s="845"/>
      <c r="BI44" s="845"/>
      <c r="BJ44" s="846"/>
      <c r="BK44" s="852"/>
      <c r="BL44" s="845"/>
      <c r="BM44" s="845"/>
      <c r="BN44" s="845"/>
      <c r="BO44" s="845"/>
      <c r="BP44" s="846"/>
      <c r="BQ44" s="852"/>
      <c r="BR44" s="845"/>
      <c r="BS44" s="845"/>
      <c r="BT44" s="845"/>
      <c r="BU44" s="845"/>
      <c r="BV44" s="846"/>
      <c r="BW44" s="852"/>
      <c r="BX44" s="845"/>
      <c r="BY44" s="845"/>
      <c r="BZ44" s="845"/>
      <c r="CA44" s="845"/>
      <c r="CB44" s="846"/>
    </row>
    <row r="45" spans="1:87" ht="16.5" customHeight="1">
      <c r="B45" s="529"/>
      <c r="C45" s="536" t="s">
        <v>479</v>
      </c>
      <c r="D45" s="890" t="str">
        <f>D16</f>
        <v>DRAGA SR 20"+ 1 Batelão</v>
      </c>
      <c r="E45" s="890"/>
      <c r="F45" s="537" t="s">
        <v>100</v>
      </c>
      <c r="G45" s="523">
        <f>SUM(CPU!H2387)</f>
        <v>0</v>
      </c>
      <c r="H45" s="575"/>
      <c r="I45" s="580"/>
      <c r="J45" s="581"/>
      <c r="K45" s="581"/>
      <c r="L45" s="581"/>
      <c r="M45" s="581"/>
      <c r="N45" s="582"/>
      <c r="O45" s="583"/>
      <c r="P45" s="581"/>
      <c r="Q45" s="581"/>
      <c r="R45" s="581"/>
      <c r="S45" s="581"/>
      <c r="T45" s="582"/>
      <c r="U45" s="574"/>
      <c r="V45" s="572"/>
      <c r="W45" s="572"/>
      <c r="X45" s="572"/>
      <c r="Y45" s="572"/>
      <c r="Z45" s="573"/>
      <c r="AA45" s="574"/>
      <c r="AB45" s="572"/>
      <c r="AC45" s="572"/>
      <c r="AD45" s="576"/>
      <c r="AE45" s="572"/>
      <c r="AF45" s="573"/>
      <c r="AG45" s="574"/>
      <c r="AH45" s="572"/>
      <c r="AI45" s="572"/>
      <c r="AJ45" s="572"/>
      <c r="AK45" s="572"/>
      <c r="AL45" s="573"/>
      <c r="AM45" s="574"/>
      <c r="AN45" s="572"/>
      <c r="AO45" s="572"/>
      <c r="AP45" s="572"/>
      <c r="AQ45" s="572"/>
      <c r="AR45" s="573"/>
      <c r="AS45" s="572"/>
      <c r="AT45" s="572"/>
      <c r="AU45" s="572"/>
      <c r="AV45" s="572"/>
      <c r="AW45" s="572"/>
      <c r="AX45" s="573"/>
      <c r="AY45" s="574"/>
      <c r="AZ45" s="572"/>
      <c r="BA45" s="572"/>
      <c r="BB45" s="572"/>
      <c r="BC45" s="572"/>
      <c r="BD45" s="573"/>
      <c r="BE45" s="574"/>
      <c r="BF45" s="572"/>
      <c r="BG45" s="572"/>
      <c r="BH45" s="572"/>
      <c r="BI45" s="572"/>
      <c r="BJ45" s="573"/>
      <c r="BK45" s="574"/>
      <c r="BL45" s="572"/>
      <c r="BM45" s="572"/>
      <c r="BN45" s="572"/>
      <c r="BO45" s="572"/>
      <c r="BP45" s="573"/>
      <c r="BQ45" s="572"/>
      <c r="BR45" s="577"/>
      <c r="BS45" s="577"/>
      <c r="BT45" s="577"/>
      <c r="BU45" s="577"/>
      <c r="BV45" s="578"/>
      <c r="BW45" s="584"/>
      <c r="BX45" s="577"/>
      <c r="BY45" s="572"/>
      <c r="BZ45" s="572"/>
      <c r="CA45" s="572"/>
      <c r="CB45" s="573"/>
    </row>
    <row r="46" spans="1:87" ht="16.5" customHeight="1">
      <c r="B46" s="529"/>
      <c r="C46" s="536"/>
      <c r="D46" s="579"/>
      <c r="E46" s="579"/>
      <c r="F46" s="537" t="s">
        <v>171</v>
      </c>
      <c r="G46" s="538">
        <f>SUM(CPU!H2449,CPU!H2445)</f>
        <v>0</v>
      </c>
      <c r="H46" s="575"/>
      <c r="I46" s="852"/>
      <c r="J46" s="845"/>
      <c r="K46" s="845"/>
      <c r="L46" s="845"/>
      <c r="M46" s="845"/>
      <c r="N46" s="846"/>
      <c r="O46" s="852"/>
      <c r="P46" s="845"/>
      <c r="Q46" s="845"/>
      <c r="R46" s="845"/>
      <c r="S46" s="845"/>
      <c r="T46" s="846"/>
      <c r="U46" s="852"/>
      <c r="V46" s="845"/>
      <c r="W46" s="845"/>
      <c r="X46" s="845"/>
      <c r="Y46" s="845"/>
      <c r="Z46" s="846"/>
      <c r="AA46" s="852"/>
      <c r="AB46" s="845"/>
      <c r="AC46" s="845"/>
      <c r="AD46" s="845"/>
      <c r="AE46" s="845"/>
      <c r="AF46" s="846"/>
      <c r="AG46" s="852"/>
      <c r="AH46" s="845"/>
      <c r="AI46" s="845"/>
      <c r="AJ46" s="845"/>
      <c r="AK46" s="845"/>
      <c r="AL46" s="846"/>
      <c r="AM46" s="852"/>
      <c r="AN46" s="845"/>
      <c r="AO46" s="845"/>
      <c r="AP46" s="845"/>
      <c r="AQ46" s="845"/>
      <c r="AR46" s="846"/>
      <c r="AS46" s="852"/>
      <c r="AT46" s="845"/>
      <c r="AU46" s="845"/>
      <c r="AV46" s="845"/>
      <c r="AW46" s="845"/>
      <c r="AX46" s="846"/>
      <c r="AY46" s="852"/>
      <c r="AZ46" s="845"/>
      <c r="BA46" s="845"/>
      <c r="BB46" s="845"/>
      <c r="BC46" s="845"/>
      <c r="BD46" s="846"/>
      <c r="BE46" s="852"/>
      <c r="BF46" s="845"/>
      <c r="BG46" s="845"/>
      <c r="BH46" s="845"/>
      <c r="BI46" s="845"/>
      <c r="BJ46" s="846"/>
      <c r="BK46" s="852"/>
      <c r="BL46" s="845"/>
      <c r="BM46" s="845"/>
      <c r="BN46" s="845"/>
      <c r="BO46" s="845"/>
      <c r="BP46" s="846"/>
      <c r="BQ46" s="844">
        <f>G46</f>
        <v>0</v>
      </c>
      <c r="BR46" s="845"/>
      <c r="BS46" s="845"/>
      <c r="BT46" s="845"/>
      <c r="BU46" s="845"/>
      <c r="BV46" s="846"/>
      <c r="BW46" s="852"/>
      <c r="BX46" s="845"/>
      <c r="BY46" s="845"/>
      <c r="BZ46" s="845"/>
      <c r="CA46" s="845"/>
      <c r="CB46" s="846"/>
    </row>
    <row r="47" spans="1:87" ht="16.5">
      <c r="A47" s="535"/>
      <c r="B47" s="529"/>
      <c r="C47" s="530"/>
      <c r="D47" s="530"/>
      <c r="E47" s="530"/>
      <c r="F47" s="537"/>
      <c r="G47" s="523"/>
      <c r="H47" s="523"/>
      <c r="I47" s="852"/>
      <c r="J47" s="845"/>
      <c r="K47" s="845"/>
      <c r="L47" s="845"/>
      <c r="M47" s="845"/>
      <c r="N47" s="846"/>
      <c r="O47" s="852"/>
      <c r="P47" s="845"/>
      <c r="Q47" s="845"/>
      <c r="R47" s="845"/>
      <c r="S47" s="845"/>
      <c r="T47" s="846"/>
      <c r="U47" s="852"/>
      <c r="V47" s="845"/>
      <c r="W47" s="845"/>
      <c r="X47" s="845"/>
      <c r="Y47" s="845"/>
      <c r="Z47" s="846"/>
      <c r="AA47" s="852"/>
      <c r="AB47" s="845"/>
      <c r="AC47" s="845"/>
      <c r="AD47" s="845"/>
      <c r="AE47" s="845"/>
      <c r="AF47" s="846"/>
      <c r="AG47" s="852"/>
      <c r="AH47" s="845"/>
      <c r="AI47" s="845"/>
      <c r="AJ47" s="845"/>
      <c r="AK47" s="845"/>
      <c r="AL47" s="846"/>
      <c r="AM47" s="852"/>
      <c r="AN47" s="845"/>
      <c r="AO47" s="845"/>
      <c r="AP47" s="845"/>
      <c r="AQ47" s="845"/>
      <c r="AR47" s="846"/>
      <c r="AS47" s="852"/>
      <c r="AT47" s="845"/>
      <c r="AU47" s="845"/>
      <c r="AV47" s="845"/>
      <c r="AW47" s="845"/>
      <c r="AX47" s="846"/>
      <c r="AY47" s="852"/>
      <c r="AZ47" s="845"/>
      <c r="BA47" s="845"/>
      <c r="BB47" s="845"/>
      <c r="BC47" s="845"/>
      <c r="BD47" s="846"/>
      <c r="BE47" s="852"/>
      <c r="BF47" s="845"/>
      <c r="BG47" s="845"/>
      <c r="BH47" s="845"/>
      <c r="BI47" s="845"/>
      <c r="BJ47" s="846"/>
      <c r="BK47" s="852"/>
      <c r="BL47" s="845"/>
      <c r="BM47" s="845"/>
      <c r="BN47" s="845"/>
      <c r="BO47" s="845"/>
      <c r="BP47" s="846"/>
      <c r="BQ47" s="852"/>
      <c r="BR47" s="845"/>
      <c r="BS47" s="845"/>
      <c r="BT47" s="845"/>
      <c r="BU47" s="845"/>
      <c r="BV47" s="846"/>
      <c r="BW47" s="852"/>
      <c r="BX47" s="845"/>
      <c r="BY47" s="845"/>
      <c r="BZ47" s="845"/>
      <c r="CA47" s="845"/>
      <c r="CB47" s="846"/>
    </row>
    <row r="48" spans="1:87" ht="17.25" thickBot="1">
      <c r="B48" s="585"/>
      <c r="C48" s="586"/>
      <c r="D48" s="586"/>
      <c r="E48" s="587"/>
      <c r="F48" s="588"/>
      <c r="G48" s="589"/>
      <c r="H48" s="590"/>
      <c r="I48" s="591"/>
      <c r="J48" s="592"/>
      <c r="K48" s="592"/>
      <c r="L48" s="592"/>
      <c r="M48" s="592"/>
      <c r="N48" s="593"/>
      <c r="O48" s="591"/>
      <c r="P48" s="592"/>
      <c r="Q48" s="592"/>
      <c r="R48" s="592"/>
      <c r="S48" s="592"/>
      <c r="T48" s="593"/>
      <c r="U48" s="594"/>
      <c r="V48" s="590"/>
      <c r="W48" s="592"/>
      <c r="X48" s="592"/>
      <c r="Y48" s="592"/>
      <c r="Z48" s="593"/>
      <c r="AA48" s="594"/>
      <c r="AB48" s="590"/>
      <c r="AC48" s="590"/>
      <c r="AD48" s="595"/>
      <c r="AE48" s="595"/>
      <c r="AF48" s="596"/>
      <c r="AG48" s="597"/>
      <c r="AH48" s="598"/>
      <c r="AI48" s="590"/>
      <c r="AJ48" s="590"/>
      <c r="AK48" s="590"/>
      <c r="AL48" s="599"/>
      <c r="AM48" s="594"/>
      <c r="AN48" s="590"/>
      <c r="AO48" s="590"/>
      <c r="AP48" s="590"/>
      <c r="AQ48" s="590"/>
      <c r="AR48" s="600"/>
      <c r="AS48" s="601"/>
      <c r="AT48" s="601"/>
      <c r="AU48" s="601"/>
      <c r="AV48" s="601"/>
      <c r="AW48" s="601"/>
      <c r="AX48" s="600"/>
      <c r="AY48" s="885"/>
      <c r="AZ48" s="886"/>
      <c r="BA48" s="886"/>
      <c r="BB48" s="886"/>
      <c r="BC48" s="886"/>
      <c r="BD48" s="602"/>
      <c r="BE48" s="603"/>
      <c r="BF48" s="604"/>
      <c r="BG48" s="604"/>
      <c r="BH48" s="601"/>
      <c r="BI48" s="605"/>
      <c r="BJ48" s="606"/>
      <c r="BK48" s="607"/>
      <c r="BL48" s="605"/>
      <c r="BM48" s="605"/>
      <c r="BN48" s="605"/>
      <c r="BO48" s="605"/>
      <c r="BP48" s="606"/>
      <c r="BQ48" s="605"/>
      <c r="BR48" s="605"/>
      <c r="BS48" s="605"/>
      <c r="BT48" s="605"/>
      <c r="BU48" s="605"/>
      <c r="BV48" s="606"/>
      <c r="BW48" s="607"/>
      <c r="BX48" s="605"/>
      <c r="BY48" s="605"/>
      <c r="BZ48" s="605"/>
      <c r="CA48" s="605"/>
      <c r="CB48" s="606"/>
    </row>
    <row r="49" spans="1:80" ht="18" thickTop="1" thickBot="1">
      <c r="B49" s="608"/>
      <c r="C49" s="587"/>
      <c r="D49" s="587"/>
      <c r="E49" s="587"/>
      <c r="F49" s="588"/>
      <c r="G49" s="589"/>
      <c r="H49" s="590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887"/>
      <c r="V49" s="887"/>
      <c r="W49" s="888"/>
      <c r="X49" s="888"/>
      <c r="Y49" s="888"/>
      <c r="Z49" s="888"/>
      <c r="AA49" s="590"/>
      <c r="AB49" s="590"/>
      <c r="AC49" s="590"/>
      <c r="AD49" s="590"/>
      <c r="AE49" s="590"/>
      <c r="AF49" s="590"/>
      <c r="AG49" s="590"/>
      <c r="AH49" s="590"/>
      <c r="AI49" s="590"/>
      <c r="AJ49" s="590"/>
      <c r="AK49" s="590"/>
      <c r="AL49" s="590"/>
      <c r="AM49" s="590"/>
      <c r="AN49" s="590"/>
      <c r="AO49" s="590"/>
      <c r="AP49" s="590"/>
      <c r="AQ49" s="590"/>
      <c r="AR49" s="590"/>
      <c r="AS49" s="609"/>
      <c r="AT49" s="610"/>
      <c r="AU49" s="610"/>
      <c r="AV49" s="610"/>
      <c r="AW49" s="610"/>
      <c r="AX49" s="610"/>
      <c r="AY49" s="611"/>
      <c r="AZ49" s="611"/>
      <c r="BA49" s="611"/>
      <c r="BB49" s="611"/>
      <c r="BC49" s="590"/>
      <c r="BD49" s="590"/>
      <c r="BE49" s="590"/>
      <c r="BF49" s="612"/>
      <c r="BG49" s="612"/>
      <c r="BH49" s="612"/>
      <c r="BI49" s="612"/>
      <c r="BJ49" s="612"/>
      <c r="BK49" s="605"/>
      <c r="BL49" s="605"/>
      <c r="BM49" s="605"/>
      <c r="BN49" s="605"/>
      <c r="BO49" s="605"/>
      <c r="BP49" s="605"/>
      <c r="BQ49" s="605"/>
      <c r="BR49" s="605"/>
      <c r="BS49" s="605"/>
      <c r="BT49" s="605"/>
      <c r="BU49" s="605"/>
      <c r="BV49" s="605"/>
      <c r="BW49" s="605"/>
      <c r="BX49" s="605"/>
      <c r="BY49" s="605"/>
      <c r="BZ49" s="605"/>
      <c r="CA49" s="605"/>
      <c r="CB49" s="605"/>
    </row>
    <row r="50" spans="1:80" ht="17.25" thickTop="1">
      <c r="B50" s="613"/>
      <c r="C50" s="613"/>
      <c r="D50" s="613"/>
      <c r="E50" s="613"/>
      <c r="F50" s="614"/>
      <c r="G50" s="615"/>
      <c r="H50" s="615"/>
      <c r="I50" s="615"/>
      <c r="J50" s="615"/>
      <c r="K50" s="615"/>
      <c r="L50" s="615"/>
      <c r="M50" s="615"/>
      <c r="N50" s="615"/>
      <c r="O50" s="615"/>
      <c r="P50" s="615"/>
      <c r="Q50" s="615"/>
      <c r="R50" s="615"/>
      <c r="S50" s="615"/>
      <c r="T50" s="615"/>
      <c r="U50" s="615"/>
      <c r="V50" s="615"/>
      <c r="W50" s="615"/>
      <c r="X50" s="615"/>
      <c r="Y50" s="615"/>
      <c r="Z50" s="615"/>
      <c r="AA50" s="615"/>
      <c r="AB50" s="615"/>
      <c r="AC50" s="615"/>
      <c r="AD50" s="615"/>
      <c r="AE50" s="615"/>
      <c r="AF50" s="615"/>
      <c r="AG50" s="615"/>
      <c r="AH50" s="615"/>
      <c r="AI50" s="615"/>
      <c r="AJ50" s="615"/>
      <c r="AK50" s="615"/>
      <c r="AL50" s="615"/>
      <c r="AM50" s="615"/>
      <c r="AN50" s="615"/>
      <c r="AO50" s="615"/>
      <c r="AP50" s="615"/>
      <c r="AQ50" s="615"/>
      <c r="AR50" s="615"/>
      <c r="AS50" s="615"/>
      <c r="AT50" s="615"/>
      <c r="AU50" s="615"/>
      <c r="AV50" s="615"/>
      <c r="AW50" s="615"/>
      <c r="AX50" s="615"/>
      <c r="AY50" s="615"/>
      <c r="AZ50" s="615"/>
      <c r="BA50" s="615"/>
      <c r="BB50" s="615"/>
      <c r="BC50" s="615"/>
      <c r="BD50" s="615"/>
      <c r="BE50" s="615"/>
      <c r="BF50" s="615"/>
      <c r="BG50" s="615"/>
      <c r="BH50" s="615"/>
      <c r="BI50" s="615"/>
      <c r="BJ50" s="615"/>
      <c r="BK50" s="615"/>
      <c r="BL50" s="615"/>
      <c r="BM50" s="615"/>
      <c r="BN50" s="615"/>
      <c r="BO50" s="615"/>
      <c r="BP50" s="615"/>
      <c r="BQ50" s="615"/>
      <c r="BR50" s="615"/>
      <c r="BS50" s="615"/>
      <c r="BT50" s="615"/>
      <c r="BU50" s="615"/>
      <c r="BV50" s="615"/>
      <c r="BW50" s="615"/>
      <c r="BX50" s="615"/>
      <c r="BY50" s="615"/>
      <c r="BZ50" s="615"/>
      <c r="CA50" s="615"/>
      <c r="CB50" s="615"/>
    </row>
    <row r="51" spans="1:80" ht="16.5">
      <c r="B51" s="616">
        <v>4</v>
      </c>
      <c r="C51" s="889" t="s">
        <v>480</v>
      </c>
      <c r="D51" s="889"/>
      <c r="E51" s="889"/>
      <c r="F51" s="614"/>
      <c r="G51" s="615"/>
      <c r="H51" s="615"/>
      <c r="I51" s="879" t="s">
        <v>458</v>
      </c>
      <c r="J51" s="879"/>
      <c r="K51" s="879"/>
      <c r="L51" s="879"/>
      <c r="M51" s="879"/>
      <c r="N51" s="879"/>
      <c r="O51" s="879" t="s">
        <v>459</v>
      </c>
      <c r="P51" s="879"/>
      <c r="Q51" s="879"/>
      <c r="R51" s="879"/>
      <c r="S51" s="879"/>
      <c r="T51" s="879"/>
      <c r="U51" s="879" t="s">
        <v>460</v>
      </c>
      <c r="V51" s="879"/>
      <c r="W51" s="879"/>
      <c r="X51" s="879"/>
      <c r="Y51" s="879"/>
      <c r="Z51" s="879"/>
      <c r="AA51" s="879" t="s">
        <v>461</v>
      </c>
      <c r="AB51" s="879"/>
      <c r="AC51" s="879"/>
      <c r="AD51" s="879"/>
      <c r="AE51" s="879"/>
      <c r="AF51" s="879"/>
      <c r="AG51" s="879" t="s">
        <v>462</v>
      </c>
      <c r="AH51" s="879"/>
      <c r="AI51" s="879"/>
      <c r="AJ51" s="879"/>
      <c r="AK51" s="879"/>
      <c r="AL51" s="879"/>
      <c r="AM51" s="879" t="s">
        <v>463</v>
      </c>
      <c r="AN51" s="879"/>
      <c r="AO51" s="879"/>
      <c r="AP51" s="879"/>
      <c r="AQ51" s="879"/>
      <c r="AR51" s="879"/>
      <c r="AS51" s="879" t="s">
        <v>464</v>
      </c>
      <c r="AT51" s="879"/>
      <c r="AU51" s="879"/>
      <c r="AV51" s="879"/>
      <c r="AW51" s="879"/>
      <c r="AX51" s="879"/>
      <c r="AY51" s="879" t="s">
        <v>465</v>
      </c>
      <c r="AZ51" s="879"/>
      <c r="BA51" s="879"/>
      <c r="BB51" s="879"/>
      <c r="BC51" s="879"/>
      <c r="BD51" s="879"/>
      <c r="BE51" s="879" t="s">
        <v>466</v>
      </c>
      <c r="BF51" s="879"/>
      <c r="BG51" s="879"/>
      <c r="BH51" s="879"/>
      <c r="BI51" s="879"/>
      <c r="BJ51" s="879"/>
      <c r="BK51" s="879" t="s">
        <v>467</v>
      </c>
      <c r="BL51" s="879"/>
      <c r="BM51" s="879"/>
      <c r="BN51" s="879"/>
      <c r="BO51" s="879"/>
      <c r="BP51" s="879"/>
      <c r="BQ51" s="879" t="s">
        <v>468</v>
      </c>
      <c r="BR51" s="879"/>
      <c r="BS51" s="879"/>
      <c r="BT51" s="879"/>
      <c r="BU51" s="879"/>
      <c r="BV51" s="879"/>
      <c r="BW51" s="879" t="s">
        <v>469</v>
      </c>
      <c r="BX51" s="879"/>
      <c r="BY51" s="879"/>
      <c r="BZ51" s="879"/>
      <c r="CA51" s="879"/>
      <c r="CB51" s="879"/>
    </row>
    <row r="52" spans="1:80" ht="16.5">
      <c r="B52" s="530"/>
      <c r="C52" s="530"/>
      <c r="D52" s="530"/>
      <c r="E52" s="530"/>
      <c r="F52" s="537"/>
      <c r="G52" s="523"/>
      <c r="H52" s="523"/>
      <c r="I52" s="523"/>
      <c r="J52" s="523"/>
      <c r="K52" s="523"/>
      <c r="L52" s="523"/>
      <c r="M52" s="523"/>
      <c r="N52" s="523"/>
      <c r="O52" s="523"/>
      <c r="P52" s="523"/>
      <c r="Q52" s="523"/>
      <c r="R52" s="523"/>
      <c r="S52" s="523"/>
      <c r="T52" s="523"/>
      <c r="U52" s="523"/>
      <c r="V52" s="523"/>
      <c r="W52" s="523"/>
      <c r="X52" s="523"/>
      <c r="Y52" s="523"/>
      <c r="Z52" s="523"/>
      <c r="AA52" s="523"/>
      <c r="AB52" s="523"/>
      <c r="AC52" s="523"/>
      <c r="AD52" s="523"/>
      <c r="AE52" s="523"/>
      <c r="AF52" s="523"/>
      <c r="AG52" s="523"/>
      <c r="AH52" s="523"/>
      <c r="AI52" s="523"/>
      <c r="AJ52" s="523"/>
      <c r="AK52" s="523"/>
      <c r="AL52" s="523"/>
      <c r="AM52" s="523"/>
      <c r="AN52" s="523"/>
      <c r="AO52" s="523"/>
      <c r="AP52" s="523"/>
      <c r="AQ52" s="523"/>
      <c r="AR52" s="523"/>
      <c r="AS52" s="523"/>
      <c r="AT52" s="523"/>
      <c r="AU52" s="523"/>
      <c r="AV52" s="523"/>
      <c r="AW52" s="523"/>
      <c r="AX52" s="523"/>
      <c r="AY52" s="523"/>
      <c r="AZ52" s="523"/>
      <c r="BA52" s="523"/>
      <c r="BB52" s="523"/>
      <c r="BC52" s="523"/>
      <c r="BD52" s="523"/>
      <c r="BE52" s="523"/>
      <c r="BF52" s="523"/>
      <c r="BG52" s="523"/>
      <c r="BH52" s="523"/>
      <c r="BI52" s="523"/>
      <c r="BJ52" s="523"/>
      <c r="BK52" s="523"/>
      <c r="BL52" s="523"/>
      <c r="BM52" s="523"/>
      <c r="BN52" s="523"/>
      <c r="BO52" s="523"/>
      <c r="BP52" s="523"/>
      <c r="BQ52" s="523"/>
      <c r="BR52" s="523"/>
      <c r="BS52" s="523"/>
      <c r="BT52" s="523"/>
      <c r="BU52" s="523"/>
      <c r="BV52" s="523"/>
      <c r="BW52" s="523"/>
      <c r="BX52" s="523"/>
      <c r="BY52" s="523"/>
      <c r="BZ52" s="523"/>
      <c r="CA52" s="523"/>
      <c r="CB52" s="523"/>
    </row>
    <row r="53" spans="1:80" ht="16.5">
      <c r="B53" s="613"/>
      <c r="C53" s="617" t="s">
        <v>481</v>
      </c>
      <c r="D53" s="880" t="s">
        <v>482</v>
      </c>
      <c r="E53" s="880"/>
      <c r="F53" s="614" t="s">
        <v>100</v>
      </c>
      <c r="G53" s="618"/>
      <c r="H53" s="615"/>
      <c r="I53" s="879">
        <v>26</v>
      </c>
      <c r="J53" s="879"/>
      <c r="K53" s="879"/>
      <c r="L53" s="879"/>
      <c r="M53" s="879"/>
      <c r="N53" s="879"/>
      <c r="O53" s="879">
        <v>30</v>
      </c>
      <c r="P53" s="879"/>
      <c r="Q53" s="879"/>
      <c r="R53" s="879"/>
      <c r="S53" s="879"/>
      <c r="T53" s="879"/>
      <c r="U53" s="879">
        <v>30</v>
      </c>
      <c r="V53" s="879"/>
      <c r="W53" s="879"/>
      <c r="X53" s="879"/>
      <c r="Y53" s="879"/>
      <c r="Z53" s="879"/>
      <c r="AA53" s="879">
        <v>30</v>
      </c>
      <c r="AB53" s="879"/>
      <c r="AC53" s="879"/>
      <c r="AD53" s="879"/>
      <c r="AE53" s="879"/>
      <c r="AF53" s="879"/>
      <c r="AG53" s="879">
        <v>30</v>
      </c>
      <c r="AH53" s="879"/>
      <c r="AI53" s="879"/>
      <c r="AJ53" s="879"/>
      <c r="AK53" s="879"/>
      <c r="AL53" s="879"/>
      <c r="AM53" s="879">
        <v>30</v>
      </c>
      <c r="AN53" s="879"/>
      <c r="AO53" s="879"/>
      <c r="AP53" s="879"/>
      <c r="AQ53" s="879"/>
      <c r="AR53" s="879"/>
      <c r="AS53" s="879">
        <v>30</v>
      </c>
      <c r="AT53" s="879"/>
      <c r="AU53" s="879"/>
      <c r="AV53" s="879"/>
      <c r="AW53" s="879"/>
      <c r="AX53" s="879"/>
      <c r="AY53" s="879">
        <v>30</v>
      </c>
      <c r="AZ53" s="879"/>
      <c r="BA53" s="879"/>
      <c r="BB53" s="879"/>
      <c r="BC53" s="879"/>
      <c r="BD53" s="879"/>
      <c r="BE53" s="879">
        <v>30</v>
      </c>
      <c r="BF53" s="879"/>
      <c r="BG53" s="879"/>
      <c r="BH53" s="879"/>
      <c r="BI53" s="879"/>
      <c r="BJ53" s="879"/>
      <c r="BK53" s="879">
        <v>30</v>
      </c>
      <c r="BL53" s="879"/>
      <c r="BM53" s="879"/>
      <c r="BN53" s="879"/>
      <c r="BO53" s="879"/>
      <c r="BP53" s="879"/>
      <c r="BQ53" s="879">
        <v>30</v>
      </c>
      <c r="BR53" s="879"/>
      <c r="BS53" s="879"/>
      <c r="BT53" s="879"/>
      <c r="BU53" s="879"/>
      <c r="BV53" s="879"/>
      <c r="BW53" s="879">
        <v>10.89</v>
      </c>
      <c r="BX53" s="879"/>
      <c r="BY53" s="879"/>
      <c r="BZ53" s="879"/>
      <c r="CA53" s="879"/>
      <c r="CB53" s="879"/>
    </row>
    <row r="54" spans="1:80" ht="16.5">
      <c r="B54" s="613"/>
      <c r="C54" s="613"/>
      <c r="D54" s="613"/>
      <c r="E54" s="613"/>
      <c r="F54" s="614" t="s">
        <v>13</v>
      </c>
      <c r="G54" s="619"/>
      <c r="H54" s="615"/>
      <c r="I54" s="878"/>
      <c r="J54" s="878"/>
      <c r="K54" s="878"/>
      <c r="L54" s="878"/>
      <c r="M54" s="878"/>
      <c r="N54" s="878"/>
      <c r="O54" s="883">
        <f>SUM(O32,O28,O24)</f>
        <v>9466028000</v>
      </c>
      <c r="P54" s="883"/>
      <c r="Q54" s="883"/>
      <c r="R54" s="883"/>
      <c r="S54" s="883"/>
      <c r="T54" s="883"/>
      <c r="U54" s="883" t="e">
        <f>SUM(U32,U28,U24)</f>
        <v>#VALUE!</v>
      </c>
      <c r="V54" s="883"/>
      <c r="W54" s="883"/>
      <c r="X54" s="883"/>
      <c r="Y54" s="883"/>
      <c r="Z54" s="883"/>
      <c r="AA54" s="883" t="e">
        <f>SUM(AA32,AA28,AA24)</f>
        <v>#VALUE!</v>
      </c>
      <c r="AB54" s="883"/>
      <c r="AC54" s="883"/>
      <c r="AD54" s="883"/>
      <c r="AE54" s="883"/>
      <c r="AF54" s="883"/>
      <c r="AG54" s="883" t="e">
        <f>SUM(AG32,AG28,AG24)</f>
        <v>#REF!</v>
      </c>
      <c r="AH54" s="883"/>
      <c r="AI54" s="883"/>
      <c r="AJ54" s="883"/>
      <c r="AK54" s="883"/>
      <c r="AL54" s="883"/>
      <c r="AM54" s="883">
        <f>SUM(AM32,AM28,AM24)</f>
        <v>1535252.3560631599</v>
      </c>
      <c r="AN54" s="883"/>
      <c r="AO54" s="883"/>
      <c r="AP54" s="883"/>
      <c r="AQ54" s="883"/>
      <c r="AR54" s="883"/>
      <c r="AS54" s="883">
        <f>SUM(AS32,AS28,AS24)</f>
        <v>1535252.3560631599</v>
      </c>
      <c r="AT54" s="883"/>
      <c r="AU54" s="883"/>
      <c r="AV54" s="883"/>
      <c r="AW54" s="883"/>
      <c r="AX54" s="883"/>
      <c r="AY54" s="883" t="e">
        <f>SUM(AY32,AY28,AY24)</f>
        <v>#REF!</v>
      </c>
      <c r="AZ54" s="883"/>
      <c r="BA54" s="883"/>
      <c r="BB54" s="883"/>
      <c r="BC54" s="883"/>
      <c r="BD54" s="883"/>
      <c r="BE54" s="883" t="e">
        <f>SUM(BE32,BE28,BE24)</f>
        <v>#REF!</v>
      </c>
      <c r="BF54" s="883"/>
      <c r="BG54" s="883"/>
      <c r="BH54" s="883"/>
      <c r="BI54" s="883"/>
      <c r="BJ54" s="883"/>
      <c r="BK54" s="883" t="e">
        <f>SUM(BK32,BK28,BK24)</f>
        <v>#REF!</v>
      </c>
      <c r="BL54" s="883"/>
      <c r="BM54" s="883"/>
      <c r="BN54" s="883"/>
      <c r="BO54" s="883"/>
      <c r="BP54" s="883"/>
      <c r="BQ54" s="883" t="e">
        <f>SUM(BQ32,BQ28,BQ24)</f>
        <v>#REF!</v>
      </c>
      <c r="BR54" s="883"/>
      <c r="BS54" s="883"/>
      <c r="BT54" s="883"/>
      <c r="BU54" s="883"/>
      <c r="BV54" s="883"/>
      <c r="BW54" s="884">
        <f>SUM(BW32,BW28,BW24)</f>
        <v>0</v>
      </c>
      <c r="BX54" s="884"/>
      <c r="BY54" s="884"/>
      <c r="BZ54" s="884"/>
      <c r="CA54" s="884"/>
      <c r="CB54" s="884"/>
    </row>
    <row r="55" spans="1:80" ht="16.5">
      <c r="B55" s="613"/>
      <c r="C55" s="613"/>
      <c r="D55" s="613"/>
      <c r="E55" s="613"/>
      <c r="F55" s="614" t="s">
        <v>171</v>
      </c>
      <c r="G55" s="619"/>
      <c r="H55" s="615"/>
      <c r="I55" s="878">
        <f>I11</f>
        <v>0</v>
      </c>
      <c r="J55" s="878"/>
      <c r="K55" s="878"/>
      <c r="L55" s="878"/>
      <c r="M55" s="878"/>
      <c r="N55" s="878"/>
      <c r="O55" s="878">
        <f>SUM(O11,O14,O17,O25,O29,O33,O40,O43,O46)</f>
        <v>0</v>
      </c>
      <c r="P55" s="878"/>
      <c r="Q55" s="878"/>
      <c r="R55" s="878"/>
      <c r="S55" s="878"/>
      <c r="T55" s="878"/>
      <c r="U55" s="878" t="e">
        <f>SUM(U11,U14,U17,U25,U29,U33,U40,U43,U46)</f>
        <v>#VALUE!</v>
      </c>
      <c r="V55" s="878"/>
      <c r="W55" s="878"/>
      <c r="X55" s="878"/>
      <c r="Y55" s="878"/>
      <c r="Z55" s="878"/>
      <c r="AA55" s="878" t="e">
        <f>SUM(AA11,AA14,AA17,AA25,AA29,AA33,AA40,AA43,AA46)</f>
        <v>#VALUE!</v>
      </c>
      <c r="AB55" s="878"/>
      <c r="AC55" s="878"/>
      <c r="AD55" s="878"/>
      <c r="AE55" s="878"/>
      <c r="AF55" s="878"/>
      <c r="AG55" s="878" t="e">
        <f>SUM(AG11,AG14,AG17,AG25,AG29,AG33,AG40,AG43,AG46)</f>
        <v>#REF!</v>
      </c>
      <c r="AH55" s="878"/>
      <c r="AI55" s="878"/>
      <c r="AJ55" s="878"/>
      <c r="AK55" s="878"/>
      <c r="AL55" s="878"/>
      <c r="AM55" s="878">
        <f>SUM(AM11,AM14,AM17,AM25,AM29,AM33,AM40,AM43,AM46)</f>
        <v>33934054.207557738</v>
      </c>
      <c r="AN55" s="878"/>
      <c r="AO55" s="878"/>
      <c r="AP55" s="878"/>
      <c r="AQ55" s="878"/>
      <c r="AR55" s="878"/>
      <c r="AS55" s="878">
        <f>SUM(AS11,AS14,AS17,AS25,AS29,AS33,AS40,AS43,AS46)</f>
        <v>33934054.207557738</v>
      </c>
      <c r="AT55" s="878"/>
      <c r="AU55" s="878"/>
      <c r="AV55" s="878"/>
      <c r="AW55" s="878"/>
      <c r="AX55" s="878"/>
      <c r="AY55" s="878" t="e">
        <f>SUM(AY11,AY14,AY17,AY25,AY29,AY33,AY40,AY43,AY46)</f>
        <v>#REF!</v>
      </c>
      <c r="AZ55" s="878"/>
      <c r="BA55" s="878"/>
      <c r="BB55" s="878"/>
      <c r="BC55" s="878"/>
      <c r="BD55" s="878"/>
      <c r="BE55" s="878" t="e">
        <f>SUM(BE11,BE14,BE17,BE25,BE29,BE33,BE40,BE43,BE46)</f>
        <v>#REF!</v>
      </c>
      <c r="BF55" s="878"/>
      <c r="BG55" s="878"/>
      <c r="BH55" s="878"/>
      <c r="BI55" s="878"/>
      <c r="BJ55" s="878"/>
      <c r="BK55" s="878" t="e">
        <f>SUM(BK11,BK14,BK17,BK25,BK29,BK33,BK40,BK43,BK46)</f>
        <v>#REF!</v>
      </c>
      <c r="BL55" s="878"/>
      <c r="BM55" s="878"/>
      <c r="BN55" s="878"/>
      <c r="BO55" s="878"/>
      <c r="BP55" s="878"/>
      <c r="BQ55" s="878" t="e">
        <f>SUM(BQ11,BQ14,BQ17,BQ25,BQ29,BQ33,BQ40,BQ43,BQ46)</f>
        <v>#REF!</v>
      </c>
      <c r="BR55" s="878"/>
      <c r="BS55" s="878"/>
      <c r="BT55" s="878"/>
      <c r="BU55" s="878"/>
      <c r="BV55" s="878"/>
      <c r="BW55" s="882">
        <f>SUM(BW11,BW14,BW17,BW25,BW29,BW33,BW40,BW43,BW46)</f>
        <v>0</v>
      </c>
      <c r="BX55" s="882"/>
      <c r="BY55" s="882"/>
      <c r="BZ55" s="882"/>
      <c r="CA55" s="882"/>
      <c r="CB55" s="882"/>
    </row>
    <row r="56" spans="1:80" ht="16.5">
      <c r="B56" s="613"/>
      <c r="C56" s="613"/>
      <c r="D56" s="613"/>
      <c r="E56" s="613"/>
      <c r="F56" s="620" t="s">
        <v>5</v>
      </c>
      <c r="G56" s="619"/>
      <c r="H56" s="615"/>
      <c r="I56" s="881" t="e">
        <f>I55/$BQ$60</f>
        <v>#VALUE!</v>
      </c>
      <c r="J56" s="881"/>
      <c r="K56" s="881"/>
      <c r="L56" s="881"/>
      <c r="M56" s="881"/>
      <c r="N56" s="881"/>
      <c r="O56" s="881" t="e">
        <f>O55/$BQ$60</f>
        <v>#VALUE!</v>
      </c>
      <c r="P56" s="881"/>
      <c r="Q56" s="881"/>
      <c r="R56" s="881"/>
      <c r="S56" s="881"/>
      <c r="T56" s="881"/>
      <c r="U56" s="881" t="e">
        <f>U55/$BQ$60</f>
        <v>#VALUE!</v>
      </c>
      <c r="V56" s="881"/>
      <c r="W56" s="881"/>
      <c r="X56" s="881"/>
      <c r="Y56" s="881"/>
      <c r="Z56" s="881"/>
      <c r="AA56" s="881" t="e">
        <f>AA55/$BQ$60</f>
        <v>#VALUE!</v>
      </c>
      <c r="AB56" s="881"/>
      <c r="AC56" s="881"/>
      <c r="AD56" s="881"/>
      <c r="AE56" s="881"/>
      <c r="AF56" s="881"/>
      <c r="AG56" s="881" t="e">
        <f>AG55/$BQ$60</f>
        <v>#REF!</v>
      </c>
      <c r="AH56" s="881"/>
      <c r="AI56" s="881"/>
      <c r="AJ56" s="881"/>
      <c r="AK56" s="881"/>
      <c r="AL56" s="881"/>
      <c r="AM56" s="881" t="e">
        <f>AM55/$BQ$60</f>
        <v>#VALUE!</v>
      </c>
      <c r="AN56" s="881"/>
      <c r="AO56" s="881"/>
      <c r="AP56" s="881"/>
      <c r="AQ56" s="881"/>
      <c r="AR56" s="881"/>
      <c r="AS56" s="881" t="e">
        <f>AS55/$BQ$60</f>
        <v>#VALUE!</v>
      </c>
      <c r="AT56" s="881"/>
      <c r="AU56" s="881"/>
      <c r="AV56" s="881"/>
      <c r="AW56" s="881"/>
      <c r="AX56" s="881"/>
      <c r="AY56" s="881" t="e">
        <f>AY55/$BQ$60</f>
        <v>#REF!</v>
      </c>
      <c r="AZ56" s="881"/>
      <c r="BA56" s="881"/>
      <c r="BB56" s="881"/>
      <c r="BC56" s="881"/>
      <c r="BD56" s="881"/>
      <c r="BE56" s="881" t="e">
        <f>BE55/$BQ$60</f>
        <v>#REF!</v>
      </c>
      <c r="BF56" s="881"/>
      <c r="BG56" s="881"/>
      <c r="BH56" s="881"/>
      <c r="BI56" s="881"/>
      <c r="BJ56" s="881"/>
      <c r="BK56" s="881" t="e">
        <f>BK55/$BQ$60</f>
        <v>#REF!</v>
      </c>
      <c r="BL56" s="881"/>
      <c r="BM56" s="881"/>
      <c r="BN56" s="881"/>
      <c r="BO56" s="881"/>
      <c r="BP56" s="881"/>
      <c r="BQ56" s="881" t="e">
        <f>BQ55/$BQ$60</f>
        <v>#REF!</v>
      </c>
      <c r="BR56" s="881"/>
      <c r="BS56" s="881"/>
      <c r="BT56" s="881"/>
      <c r="BU56" s="881"/>
      <c r="BV56" s="881"/>
      <c r="BW56" s="882">
        <f>SUM(BW12,BW15,BW18,BW26,BW30,BW34,BW41,BW44,BW47)</f>
        <v>0</v>
      </c>
      <c r="BX56" s="882"/>
      <c r="BY56" s="882"/>
      <c r="BZ56" s="882"/>
      <c r="CA56" s="882"/>
      <c r="CB56" s="882"/>
    </row>
    <row r="57" spans="1:80" ht="16.5">
      <c r="B57" s="530"/>
      <c r="C57" s="530"/>
      <c r="D57" s="530"/>
      <c r="E57" s="530"/>
      <c r="F57" s="537"/>
      <c r="G57" s="523"/>
      <c r="H57" s="523"/>
      <c r="I57" s="523"/>
      <c r="J57" s="523"/>
      <c r="K57" s="523"/>
      <c r="L57" s="523"/>
      <c r="M57" s="523"/>
      <c r="N57" s="523"/>
      <c r="O57" s="523"/>
      <c r="P57" s="523"/>
      <c r="Q57" s="523"/>
      <c r="R57" s="523"/>
      <c r="S57" s="523"/>
      <c r="T57" s="523"/>
      <c r="U57" s="523"/>
      <c r="V57" s="523"/>
      <c r="W57" s="523"/>
      <c r="X57" s="523"/>
      <c r="Y57" s="523"/>
      <c r="Z57" s="523"/>
      <c r="AA57" s="523"/>
      <c r="AB57" s="523"/>
      <c r="AC57" s="523"/>
      <c r="AD57" s="523"/>
      <c r="AE57" s="523"/>
      <c r="AF57" s="523"/>
      <c r="AG57" s="523"/>
      <c r="AH57" s="523"/>
      <c r="AI57" s="523"/>
      <c r="AJ57" s="523"/>
      <c r="AK57" s="523"/>
      <c r="AL57" s="523"/>
      <c r="AM57" s="523"/>
      <c r="AN57" s="523"/>
      <c r="AO57" s="523"/>
      <c r="AP57" s="523"/>
      <c r="AQ57" s="523"/>
      <c r="AR57" s="523"/>
      <c r="AS57" s="523"/>
      <c r="AT57" s="523"/>
      <c r="AU57" s="523"/>
      <c r="AV57" s="523"/>
      <c r="AW57" s="523"/>
      <c r="AX57" s="523"/>
      <c r="AY57" s="523"/>
      <c r="AZ57" s="523"/>
      <c r="BA57" s="523"/>
      <c r="BB57" s="523"/>
      <c r="BC57" s="523"/>
      <c r="BD57" s="523"/>
      <c r="BE57" s="523"/>
      <c r="BF57" s="523"/>
      <c r="BG57" s="523"/>
      <c r="BH57" s="523"/>
      <c r="BI57" s="523"/>
      <c r="BJ57" s="523"/>
      <c r="BK57" s="523"/>
      <c r="BL57" s="523"/>
      <c r="BM57" s="523"/>
      <c r="BN57" s="523"/>
      <c r="BO57" s="523"/>
      <c r="BP57" s="523"/>
      <c r="BQ57" s="523"/>
      <c r="BR57" s="523"/>
      <c r="BS57" s="523"/>
      <c r="BT57" s="523"/>
      <c r="BU57" s="523"/>
      <c r="BV57" s="523"/>
      <c r="BW57" s="523"/>
      <c r="BX57" s="523"/>
      <c r="BY57" s="523"/>
      <c r="BZ57" s="523"/>
      <c r="CA57" s="523"/>
      <c r="CB57" s="523"/>
    </row>
    <row r="58" spans="1:80" ht="16.5">
      <c r="B58" s="613"/>
      <c r="C58" s="617" t="s">
        <v>483</v>
      </c>
      <c r="D58" s="880" t="s">
        <v>484</v>
      </c>
      <c r="E58" s="880"/>
      <c r="F58" s="614" t="s">
        <v>100</v>
      </c>
      <c r="G58" s="621"/>
      <c r="H58" s="615"/>
      <c r="I58" s="879">
        <f>I53</f>
        <v>26</v>
      </c>
      <c r="J58" s="879"/>
      <c r="K58" s="879"/>
      <c r="L58" s="879"/>
      <c r="M58" s="879"/>
      <c r="N58" s="879"/>
      <c r="O58" s="879">
        <f>SUM($I$53:T53)</f>
        <v>56</v>
      </c>
      <c r="P58" s="879"/>
      <c r="Q58" s="879"/>
      <c r="R58" s="879"/>
      <c r="S58" s="879"/>
      <c r="T58" s="879"/>
      <c r="U58" s="879">
        <f>SUM($I$53:Z53)</f>
        <v>86</v>
      </c>
      <c r="V58" s="879"/>
      <c r="W58" s="879"/>
      <c r="X58" s="879"/>
      <c r="Y58" s="879"/>
      <c r="Z58" s="879"/>
      <c r="AA58" s="879">
        <f>SUM($I$53:AF53)</f>
        <v>116</v>
      </c>
      <c r="AB58" s="879"/>
      <c r="AC58" s="879"/>
      <c r="AD58" s="879"/>
      <c r="AE58" s="879"/>
      <c r="AF58" s="879"/>
      <c r="AG58" s="879">
        <f>SUM($I$53:AL53)</f>
        <v>146</v>
      </c>
      <c r="AH58" s="879"/>
      <c r="AI58" s="879"/>
      <c r="AJ58" s="879"/>
      <c r="AK58" s="879"/>
      <c r="AL58" s="879"/>
      <c r="AM58" s="879">
        <f>SUM($I$53:AR53)</f>
        <v>176</v>
      </c>
      <c r="AN58" s="879"/>
      <c r="AO58" s="879"/>
      <c r="AP58" s="879"/>
      <c r="AQ58" s="879"/>
      <c r="AR58" s="879"/>
      <c r="AS58" s="879">
        <f>SUM($I$53:AX53)</f>
        <v>206</v>
      </c>
      <c r="AT58" s="879"/>
      <c r="AU58" s="879"/>
      <c r="AV58" s="879"/>
      <c r="AW58" s="879"/>
      <c r="AX58" s="879"/>
      <c r="AY58" s="879">
        <f>SUM($I$53:BD53)</f>
        <v>236</v>
      </c>
      <c r="AZ58" s="879"/>
      <c r="BA58" s="879"/>
      <c r="BB58" s="879"/>
      <c r="BC58" s="879"/>
      <c r="BD58" s="879"/>
      <c r="BE58" s="879">
        <f>SUM($I$53:BJ53)</f>
        <v>266</v>
      </c>
      <c r="BF58" s="879"/>
      <c r="BG58" s="879"/>
      <c r="BH58" s="879"/>
      <c r="BI58" s="879"/>
      <c r="BJ58" s="879"/>
      <c r="BK58" s="879">
        <f>SUM($I$53:BP53)</f>
        <v>296</v>
      </c>
      <c r="BL58" s="879"/>
      <c r="BM58" s="879"/>
      <c r="BN58" s="879"/>
      <c r="BO58" s="879"/>
      <c r="BP58" s="879"/>
      <c r="BQ58" s="879">
        <f>SUM($I$53:BV53)</f>
        <v>326</v>
      </c>
      <c r="BR58" s="879"/>
      <c r="BS58" s="879"/>
      <c r="BT58" s="879"/>
      <c r="BU58" s="879"/>
      <c r="BV58" s="879"/>
      <c r="BW58" s="879">
        <f>SUM($I$53:CB53)</f>
        <v>336.89</v>
      </c>
      <c r="BX58" s="879"/>
      <c r="BY58" s="879"/>
      <c r="BZ58" s="879"/>
      <c r="CA58" s="879"/>
      <c r="CB58" s="879"/>
    </row>
    <row r="59" spans="1:80" ht="16.5">
      <c r="B59" s="613"/>
      <c r="C59" s="613"/>
      <c r="D59" s="613"/>
      <c r="E59" s="613"/>
      <c r="F59" s="614" t="s">
        <v>13</v>
      </c>
      <c r="G59" s="621"/>
      <c r="H59" s="615"/>
      <c r="I59" s="878">
        <f>I54</f>
        <v>0</v>
      </c>
      <c r="J59" s="878"/>
      <c r="K59" s="878"/>
      <c r="L59" s="878"/>
      <c r="M59" s="878"/>
      <c r="N59" s="878"/>
      <c r="O59" s="878">
        <f>SUM($I$54:T54)</f>
        <v>9466028000</v>
      </c>
      <c r="P59" s="878"/>
      <c r="Q59" s="878"/>
      <c r="R59" s="878"/>
      <c r="S59" s="878"/>
      <c r="T59" s="878"/>
      <c r="U59" s="878" t="e">
        <f>SUM($I$54:Z54)</f>
        <v>#VALUE!</v>
      </c>
      <c r="V59" s="878"/>
      <c r="W59" s="878"/>
      <c r="X59" s="878"/>
      <c r="Y59" s="878"/>
      <c r="Z59" s="878"/>
      <c r="AA59" s="878" t="e">
        <f>SUM($I$54:AF54)</f>
        <v>#VALUE!</v>
      </c>
      <c r="AB59" s="878"/>
      <c r="AC59" s="878"/>
      <c r="AD59" s="878"/>
      <c r="AE59" s="878"/>
      <c r="AF59" s="878"/>
      <c r="AG59" s="878" t="e">
        <f>SUM($I$54:AL54)</f>
        <v>#VALUE!</v>
      </c>
      <c r="AH59" s="878"/>
      <c r="AI59" s="878"/>
      <c r="AJ59" s="878"/>
      <c r="AK59" s="878"/>
      <c r="AL59" s="878"/>
      <c r="AM59" s="878" t="e">
        <f>SUM($I$54:AR54)</f>
        <v>#VALUE!</v>
      </c>
      <c r="AN59" s="878"/>
      <c r="AO59" s="878"/>
      <c r="AP59" s="878"/>
      <c r="AQ59" s="878"/>
      <c r="AR59" s="878"/>
      <c r="AS59" s="878" t="e">
        <f>SUM($I$54:AX54)</f>
        <v>#VALUE!</v>
      </c>
      <c r="AT59" s="878"/>
      <c r="AU59" s="878"/>
      <c r="AV59" s="878"/>
      <c r="AW59" s="878"/>
      <c r="AX59" s="878"/>
      <c r="AY59" s="878" t="e">
        <f>SUM($I$54:BD54)</f>
        <v>#VALUE!</v>
      </c>
      <c r="AZ59" s="878"/>
      <c r="BA59" s="878"/>
      <c r="BB59" s="878"/>
      <c r="BC59" s="878"/>
      <c r="BD59" s="878"/>
      <c r="BE59" s="878" t="e">
        <f>SUM($I$54:BJ54)</f>
        <v>#VALUE!</v>
      </c>
      <c r="BF59" s="878"/>
      <c r="BG59" s="878"/>
      <c r="BH59" s="878"/>
      <c r="BI59" s="878"/>
      <c r="BJ59" s="878"/>
      <c r="BK59" s="878" t="e">
        <f>SUM($I$54:BP54)</f>
        <v>#VALUE!</v>
      </c>
      <c r="BL59" s="878"/>
      <c r="BM59" s="878"/>
      <c r="BN59" s="878"/>
      <c r="BO59" s="878"/>
      <c r="BP59" s="878"/>
      <c r="BQ59" s="878" t="e">
        <f>SUM($I$54:BV54)</f>
        <v>#VALUE!</v>
      </c>
      <c r="BR59" s="878"/>
      <c r="BS59" s="878"/>
      <c r="BT59" s="878"/>
      <c r="BU59" s="878"/>
      <c r="BV59" s="878"/>
      <c r="BW59" s="878"/>
      <c r="BX59" s="878"/>
      <c r="BY59" s="878"/>
      <c r="BZ59" s="878"/>
      <c r="CA59" s="878"/>
      <c r="CB59" s="878"/>
    </row>
    <row r="60" spans="1:80" ht="16.5">
      <c r="B60" s="613"/>
      <c r="C60" s="613"/>
      <c r="D60" s="613"/>
      <c r="E60" s="613"/>
      <c r="F60" s="614" t="s">
        <v>171</v>
      </c>
      <c r="G60" s="615"/>
      <c r="H60" s="615"/>
      <c r="I60" s="878">
        <f>I55</f>
        <v>0</v>
      </c>
      <c r="J60" s="878"/>
      <c r="K60" s="878"/>
      <c r="L60" s="878"/>
      <c r="M60" s="878"/>
      <c r="N60" s="878"/>
      <c r="O60" s="878">
        <f>SUM($I$55:T55)</f>
        <v>0</v>
      </c>
      <c r="P60" s="878"/>
      <c r="Q60" s="878"/>
      <c r="R60" s="878"/>
      <c r="S60" s="878"/>
      <c r="T60" s="878"/>
      <c r="U60" s="878" t="e">
        <f>SUM($I$55:Z55)</f>
        <v>#VALUE!</v>
      </c>
      <c r="V60" s="878"/>
      <c r="W60" s="878"/>
      <c r="X60" s="878"/>
      <c r="Y60" s="878"/>
      <c r="Z60" s="878"/>
      <c r="AA60" s="878" t="e">
        <f>SUM($I$55:AF55)</f>
        <v>#VALUE!</v>
      </c>
      <c r="AB60" s="878"/>
      <c r="AC60" s="878"/>
      <c r="AD60" s="878"/>
      <c r="AE60" s="878"/>
      <c r="AF60" s="878"/>
      <c r="AG60" s="878" t="e">
        <f>SUM($I$55:AL55)</f>
        <v>#VALUE!</v>
      </c>
      <c r="AH60" s="878"/>
      <c r="AI60" s="878"/>
      <c r="AJ60" s="878"/>
      <c r="AK60" s="878"/>
      <c r="AL60" s="878"/>
      <c r="AM60" s="878" t="e">
        <f>SUM($I$55:AR55)</f>
        <v>#VALUE!</v>
      </c>
      <c r="AN60" s="878"/>
      <c r="AO60" s="878"/>
      <c r="AP60" s="878"/>
      <c r="AQ60" s="878"/>
      <c r="AR60" s="878"/>
      <c r="AS60" s="878" t="e">
        <f>SUM($I$55:AX55)</f>
        <v>#VALUE!</v>
      </c>
      <c r="AT60" s="878"/>
      <c r="AU60" s="878"/>
      <c r="AV60" s="878"/>
      <c r="AW60" s="878"/>
      <c r="AX60" s="878"/>
      <c r="AY60" s="878" t="e">
        <f>SUM($I$55:BD55)</f>
        <v>#VALUE!</v>
      </c>
      <c r="AZ60" s="878"/>
      <c r="BA60" s="878"/>
      <c r="BB60" s="878"/>
      <c r="BC60" s="878"/>
      <c r="BD60" s="878"/>
      <c r="BE60" s="878" t="e">
        <f>SUM($I$55:BJ55)</f>
        <v>#VALUE!</v>
      </c>
      <c r="BF60" s="878"/>
      <c r="BG60" s="878"/>
      <c r="BH60" s="878"/>
      <c r="BI60" s="878"/>
      <c r="BJ60" s="878"/>
      <c r="BK60" s="878" t="e">
        <f>SUM($I$55:BP55)</f>
        <v>#VALUE!</v>
      </c>
      <c r="BL60" s="878"/>
      <c r="BM60" s="878"/>
      <c r="BN60" s="878"/>
      <c r="BO60" s="878"/>
      <c r="BP60" s="878"/>
      <c r="BQ60" s="878" t="e">
        <f>SUM($I$55:BV55)</f>
        <v>#VALUE!</v>
      </c>
      <c r="BR60" s="878"/>
      <c r="BS60" s="878"/>
      <c r="BT60" s="878"/>
      <c r="BU60" s="878"/>
      <c r="BV60" s="878"/>
      <c r="BW60" s="878"/>
      <c r="BX60" s="878"/>
      <c r="BY60" s="878"/>
      <c r="BZ60" s="878"/>
      <c r="CA60" s="878"/>
      <c r="CB60" s="878"/>
    </row>
    <row r="61" spans="1:80" ht="16.5">
      <c r="B61" s="613"/>
      <c r="C61" s="613"/>
      <c r="D61" s="613"/>
      <c r="E61" s="613"/>
      <c r="F61" s="620" t="s">
        <v>5</v>
      </c>
      <c r="G61" s="615"/>
      <c r="H61" s="615"/>
      <c r="I61" s="874" t="e">
        <f>I60/$BQ$60</f>
        <v>#VALUE!</v>
      </c>
      <c r="J61" s="874"/>
      <c r="K61" s="874"/>
      <c r="L61" s="874"/>
      <c r="M61" s="874"/>
      <c r="N61" s="874"/>
      <c r="O61" s="874" t="e">
        <f>O60/$BQ$60</f>
        <v>#VALUE!</v>
      </c>
      <c r="P61" s="874"/>
      <c r="Q61" s="874"/>
      <c r="R61" s="874"/>
      <c r="S61" s="874"/>
      <c r="T61" s="874"/>
      <c r="U61" s="874" t="e">
        <f>U60/$BQ$60</f>
        <v>#VALUE!</v>
      </c>
      <c r="V61" s="874"/>
      <c r="W61" s="874"/>
      <c r="X61" s="874"/>
      <c r="Y61" s="874"/>
      <c r="Z61" s="874"/>
      <c r="AA61" s="874" t="e">
        <f>AA60/$BQ$60</f>
        <v>#VALUE!</v>
      </c>
      <c r="AB61" s="874"/>
      <c r="AC61" s="874"/>
      <c r="AD61" s="874"/>
      <c r="AE61" s="874"/>
      <c r="AF61" s="874"/>
      <c r="AG61" s="874" t="e">
        <f>AG60/$BQ$60</f>
        <v>#VALUE!</v>
      </c>
      <c r="AH61" s="874"/>
      <c r="AI61" s="874"/>
      <c r="AJ61" s="874"/>
      <c r="AK61" s="874"/>
      <c r="AL61" s="874"/>
      <c r="AM61" s="874" t="e">
        <f>AM60/$BQ$60</f>
        <v>#VALUE!</v>
      </c>
      <c r="AN61" s="874"/>
      <c r="AO61" s="874"/>
      <c r="AP61" s="874"/>
      <c r="AQ61" s="874"/>
      <c r="AR61" s="874"/>
      <c r="AS61" s="874" t="e">
        <f>AS60/$BQ$60</f>
        <v>#VALUE!</v>
      </c>
      <c r="AT61" s="874"/>
      <c r="AU61" s="874"/>
      <c r="AV61" s="874"/>
      <c r="AW61" s="874"/>
      <c r="AX61" s="874"/>
      <c r="AY61" s="874" t="e">
        <f>AY60/$BQ$60</f>
        <v>#VALUE!</v>
      </c>
      <c r="AZ61" s="874"/>
      <c r="BA61" s="874"/>
      <c r="BB61" s="874"/>
      <c r="BC61" s="874"/>
      <c r="BD61" s="874"/>
      <c r="BE61" s="874" t="e">
        <f>BE60/$BQ$60</f>
        <v>#VALUE!</v>
      </c>
      <c r="BF61" s="874"/>
      <c r="BG61" s="874"/>
      <c r="BH61" s="874"/>
      <c r="BI61" s="874"/>
      <c r="BJ61" s="874"/>
      <c r="BK61" s="874" t="e">
        <f>BK60/$BQ$60</f>
        <v>#VALUE!</v>
      </c>
      <c r="BL61" s="874"/>
      <c r="BM61" s="874"/>
      <c r="BN61" s="874"/>
      <c r="BO61" s="874"/>
      <c r="BP61" s="874"/>
      <c r="BQ61" s="874" t="e">
        <f>BQ60/$BQ$60</f>
        <v>#VALUE!</v>
      </c>
      <c r="BR61" s="874"/>
      <c r="BS61" s="874"/>
      <c r="BT61" s="874"/>
      <c r="BU61" s="874"/>
      <c r="BV61" s="874"/>
      <c r="BW61" s="874"/>
      <c r="BX61" s="874"/>
      <c r="BY61" s="874"/>
      <c r="BZ61" s="874"/>
      <c r="CA61" s="874"/>
      <c r="CB61" s="874"/>
    </row>
    <row r="62" spans="1:80" ht="16.5">
      <c r="A62" s="499"/>
      <c r="B62" s="875"/>
      <c r="C62" s="875"/>
      <c r="D62" s="875"/>
      <c r="E62" s="875"/>
      <c r="F62" s="875"/>
      <c r="G62" s="875"/>
      <c r="H62" s="875"/>
      <c r="I62" s="875"/>
      <c r="J62" s="875"/>
      <c r="K62" s="875"/>
      <c r="L62" s="875"/>
      <c r="M62" s="875"/>
      <c r="N62" s="875"/>
      <c r="O62" s="875"/>
      <c r="P62" s="875"/>
      <c r="Q62" s="875"/>
      <c r="R62" s="875"/>
      <c r="S62" s="875"/>
      <c r="T62" s="875"/>
      <c r="U62" s="875"/>
      <c r="V62" s="875"/>
      <c r="W62" s="875"/>
      <c r="X62" s="875"/>
      <c r="Y62" s="875"/>
      <c r="Z62" s="875"/>
      <c r="AA62" s="875"/>
      <c r="AB62" s="875"/>
      <c r="AC62" s="875"/>
      <c r="AD62" s="875"/>
      <c r="AE62" s="875"/>
      <c r="AF62" s="875"/>
      <c r="AG62" s="499"/>
      <c r="AH62" s="499"/>
      <c r="AI62" s="499"/>
      <c r="AJ62" s="499"/>
      <c r="AK62" s="499"/>
      <c r="AL62" s="499"/>
      <c r="AM62" s="499"/>
      <c r="AN62" s="499"/>
      <c r="AO62" s="499"/>
      <c r="AP62" s="499"/>
      <c r="AQ62" s="499"/>
      <c r="AR62" s="499"/>
      <c r="AS62" s="499"/>
      <c r="AT62" s="499"/>
      <c r="AU62" s="499"/>
      <c r="AV62" s="499"/>
      <c r="AW62" s="499"/>
      <c r="AX62" s="499"/>
      <c r="AY62" s="499"/>
      <c r="AZ62" s="499"/>
      <c r="BA62" s="499"/>
      <c r="BB62" s="499"/>
      <c r="BC62" s="499"/>
      <c r="BD62" s="499"/>
      <c r="BE62" s="499"/>
      <c r="BF62" s="499"/>
      <c r="BG62" s="499"/>
      <c r="BH62" s="499"/>
      <c r="BI62" s="499"/>
      <c r="BJ62" s="499"/>
      <c r="BK62" s="499"/>
      <c r="BL62" s="499"/>
      <c r="BM62" s="499"/>
      <c r="BN62" s="499"/>
      <c r="BO62" s="499"/>
      <c r="BP62" s="499"/>
      <c r="BQ62" s="499"/>
      <c r="BR62" s="499"/>
      <c r="BS62" s="499"/>
      <c r="BT62" s="499"/>
      <c r="BU62" s="499"/>
      <c r="BV62" s="499"/>
      <c r="BW62" s="622"/>
      <c r="BX62" s="622"/>
      <c r="BY62" s="622"/>
      <c r="BZ62" s="622"/>
      <c r="CA62" s="622"/>
      <c r="CB62" s="499"/>
    </row>
    <row r="63" spans="1:80" ht="16.5">
      <c r="A63" s="499"/>
      <c r="B63" s="499"/>
      <c r="C63" s="499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499"/>
      <c r="P63" s="499"/>
      <c r="Q63" s="499"/>
      <c r="R63" s="499"/>
      <c r="S63" s="499"/>
      <c r="T63" s="499"/>
      <c r="U63" s="499"/>
      <c r="V63" s="499"/>
      <c r="W63" s="499"/>
      <c r="X63" s="499"/>
      <c r="Y63" s="499"/>
      <c r="Z63" s="499"/>
      <c r="AA63" s="499"/>
      <c r="AB63" s="499"/>
      <c r="AC63" s="499"/>
      <c r="AD63" s="499"/>
      <c r="AE63" s="499"/>
      <c r="AF63" s="499"/>
      <c r="AG63" s="499"/>
      <c r="AH63" s="499"/>
      <c r="AI63" s="499"/>
      <c r="AJ63" s="499"/>
      <c r="AK63" s="499"/>
      <c r="AL63" s="499"/>
      <c r="AM63" s="499"/>
      <c r="AN63" s="499"/>
      <c r="AO63" s="499"/>
      <c r="AP63" s="499"/>
      <c r="AQ63" s="499"/>
      <c r="AR63" s="499"/>
      <c r="AS63" s="499"/>
      <c r="AT63" s="499"/>
      <c r="AU63" s="499"/>
      <c r="AV63" s="499"/>
      <c r="AW63" s="499"/>
      <c r="AX63" s="499"/>
      <c r="AY63" s="499"/>
      <c r="AZ63" s="499"/>
      <c r="BA63" s="499"/>
      <c r="BB63" s="499"/>
      <c r="BC63" s="499"/>
      <c r="BD63" s="499"/>
      <c r="BE63" s="499"/>
      <c r="BF63" s="499"/>
      <c r="BG63" s="499"/>
      <c r="BH63" s="499"/>
      <c r="BI63" s="499"/>
      <c r="BJ63" s="499"/>
      <c r="BK63" s="499"/>
      <c r="BL63" s="499"/>
      <c r="BM63" s="499"/>
      <c r="BN63" s="499"/>
      <c r="BO63" s="499"/>
      <c r="BP63" s="499"/>
      <c r="BQ63" s="499"/>
      <c r="BR63" s="499"/>
      <c r="BS63" s="499"/>
      <c r="BT63" s="499"/>
      <c r="BU63" s="499"/>
      <c r="BV63" s="499"/>
      <c r="BW63" s="499"/>
      <c r="BX63" s="499"/>
      <c r="BY63" s="499"/>
      <c r="BZ63" s="499"/>
      <c r="CA63" s="499"/>
      <c r="CB63" s="499"/>
    </row>
    <row r="71" spans="2:80" ht="16.5">
      <c r="B71" s="876" t="s">
        <v>453</v>
      </c>
      <c r="C71" s="877"/>
      <c r="D71" s="877"/>
      <c r="E71" s="877"/>
      <c r="F71" s="877"/>
      <c r="G71" s="877"/>
      <c r="H71" s="877"/>
      <c r="I71" s="877"/>
      <c r="J71" s="877"/>
      <c r="K71" s="877"/>
      <c r="L71" s="877"/>
      <c r="M71" s="877"/>
      <c r="N71" s="877"/>
      <c r="O71" s="877"/>
      <c r="P71" s="877"/>
      <c r="Q71" s="877"/>
      <c r="R71" s="877"/>
      <c r="S71" s="877"/>
      <c r="T71" s="877"/>
      <c r="U71" s="877"/>
      <c r="V71" s="877"/>
      <c r="W71" s="877"/>
      <c r="X71" s="877"/>
      <c r="Y71" s="877"/>
      <c r="Z71" s="877"/>
      <c r="AA71" s="877"/>
      <c r="AB71" s="877"/>
      <c r="AC71" s="877"/>
      <c r="AD71" s="877"/>
      <c r="AE71" s="877"/>
      <c r="AF71" s="877"/>
      <c r="AG71" s="877"/>
      <c r="AH71" s="877"/>
      <c r="AI71" s="877"/>
      <c r="AJ71" s="877"/>
      <c r="AK71" s="877"/>
      <c r="AL71" s="877"/>
      <c r="AM71" s="877"/>
      <c r="AN71" s="877"/>
      <c r="AO71" s="877"/>
      <c r="AP71" s="877"/>
      <c r="AQ71" s="877"/>
      <c r="AR71" s="877"/>
      <c r="AS71" s="877"/>
      <c r="AT71" s="877"/>
      <c r="AU71" s="877"/>
      <c r="AV71" s="877"/>
      <c r="AW71" s="877"/>
      <c r="AX71" s="877"/>
      <c r="AY71" s="877"/>
      <c r="AZ71" s="877"/>
      <c r="BA71" s="877"/>
      <c r="BB71" s="877"/>
      <c r="BC71" s="877"/>
      <c r="BD71" s="877"/>
      <c r="BE71" s="877"/>
      <c r="BF71" s="877"/>
      <c r="BG71" s="877"/>
      <c r="BH71" s="877"/>
      <c r="BI71" s="877"/>
      <c r="BJ71" s="877"/>
      <c r="BK71" s="877"/>
      <c r="BL71" s="877"/>
      <c r="BM71" s="877"/>
      <c r="BN71" s="877"/>
      <c r="BO71" s="877"/>
      <c r="BP71" s="877"/>
      <c r="BQ71" s="877"/>
      <c r="BR71" s="877"/>
      <c r="BS71" s="877"/>
      <c r="BT71" s="877"/>
      <c r="BU71" s="877"/>
      <c r="BV71" s="877"/>
      <c r="BW71" s="877"/>
      <c r="BX71" s="877"/>
      <c r="BY71" s="877"/>
      <c r="BZ71" s="877"/>
      <c r="CA71" s="877"/>
      <c r="CB71" s="877"/>
    </row>
    <row r="72" spans="2:80" ht="16.5">
      <c r="B72" s="876" t="s">
        <v>454</v>
      </c>
      <c r="C72" s="877"/>
      <c r="D72" s="877"/>
      <c r="E72" s="877"/>
      <c r="F72" s="877"/>
      <c r="G72" s="877"/>
      <c r="H72" s="877"/>
      <c r="I72" s="877"/>
      <c r="J72" s="877"/>
      <c r="K72" s="877"/>
      <c r="L72" s="877"/>
      <c r="M72" s="877"/>
      <c r="N72" s="877"/>
      <c r="O72" s="877"/>
      <c r="P72" s="877"/>
      <c r="Q72" s="877"/>
      <c r="R72" s="877"/>
      <c r="S72" s="877"/>
      <c r="T72" s="877"/>
      <c r="U72" s="877"/>
      <c r="V72" s="877"/>
      <c r="W72" s="877"/>
      <c r="X72" s="877"/>
      <c r="Y72" s="877"/>
      <c r="Z72" s="877"/>
      <c r="AA72" s="877"/>
      <c r="AB72" s="877"/>
      <c r="AC72" s="877"/>
      <c r="AD72" s="877"/>
      <c r="AE72" s="877"/>
      <c r="AF72" s="877"/>
      <c r="AG72" s="877"/>
      <c r="AH72" s="877"/>
      <c r="AI72" s="877"/>
      <c r="AJ72" s="877"/>
      <c r="AK72" s="877"/>
      <c r="AL72" s="877"/>
      <c r="AM72" s="877"/>
      <c r="AN72" s="877"/>
      <c r="AO72" s="877"/>
      <c r="AP72" s="877"/>
      <c r="AQ72" s="877"/>
      <c r="AR72" s="877"/>
      <c r="AS72" s="877"/>
      <c r="AT72" s="877"/>
      <c r="AU72" s="877"/>
      <c r="AV72" s="877"/>
      <c r="AW72" s="877"/>
      <c r="AX72" s="877"/>
      <c r="AY72" s="877"/>
      <c r="AZ72" s="877"/>
      <c r="BA72" s="877"/>
      <c r="BB72" s="877"/>
      <c r="BC72" s="877"/>
      <c r="BD72" s="877"/>
      <c r="BE72" s="877"/>
      <c r="BF72" s="877"/>
      <c r="BG72" s="877"/>
      <c r="BH72" s="877"/>
      <c r="BI72" s="877"/>
      <c r="BJ72" s="877"/>
      <c r="BK72" s="877"/>
      <c r="BL72" s="877"/>
      <c r="BM72" s="877"/>
      <c r="BN72" s="877"/>
      <c r="BO72" s="877"/>
      <c r="BP72" s="877"/>
      <c r="BQ72" s="877"/>
      <c r="BR72" s="877"/>
      <c r="BS72" s="877"/>
      <c r="BT72" s="877"/>
      <c r="BU72" s="877"/>
      <c r="BV72" s="877"/>
      <c r="BW72" s="877"/>
      <c r="BX72" s="877"/>
      <c r="BY72" s="877"/>
      <c r="BZ72" s="877"/>
      <c r="CA72" s="877"/>
      <c r="CB72" s="877"/>
    </row>
    <row r="73" spans="2:80" ht="16.5">
      <c r="B73" s="502"/>
      <c r="C73" s="503"/>
      <c r="D73" s="503"/>
      <c r="E73" s="503"/>
      <c r="F73" s="503"/>
      <c r="G73" s="503"/>
      <c r="H73" s="503"/>
      <c r="I73" s="503"/>
      <c r="J73" s="503"/>
      <c r="K73" s="503"/>
      <c r="L73" s="503"/>
      <c r="M73" s="503"/>
      <c r="N73" s="503"/>
      <c r="O73" s="503"/>
      <c r="P73" s="503"/>
      <c r="Q73" s="503"/>
      <c r="R73" s="503"/>
      <c r="S73" s="503"/>
      <c r="T73" s="503"/>
      <c r="U73" s="503"/>
      <c r="V73" s="503"/>
      <c r="W73" s="503"/>
      <c r="X73" s="503"/>
      <c r="Y73" s="503"/>
      <c r="Z73" s="503"/>
      <c r="AA73" s="503"/>
      <c r="AB73" s="503"/>
      <c r="AC73" s="503"/>
      <c r="AD73" s="503"/>
      <c r="AE73" s="503"/>
      <c r="AF73" s="503"/>
      <c r="AG73" s="503"/>
      <c r="AH73" s="503"/>
      <c r="AI73" s="503"/>
      <c r="AJ73" s="503"/>
      <c r="AK73" s="503"/>
      <c r="AL73" s="503"/>
      <c r="AM73" s="503"/>
      <c r="AN73" s="503"/>
      <c r="AO73" s="503"/>
      <c r="AP73" s="503"/>
      <c r="AQ73" s="503"/>
      <c r="AR73" s="503"/>
      <c r="AS73" s="503"/>
      <c r="AT73" s="503"/>
      <c r="AU73" s="503"/>
      <c r="AV73" s="503"/>
      <c r="AW73" s="503"/>
      <c r="AX73" s="503"/>
      <c r="AY73" s="503"/>
      <c r="AZ73" s="503"/>
      <c r="BA73" s="503"/>
      <c r="BB73" s="503"/>
      <c r="BC73" s="503"/>
      <c r="BD73" s="503"/>
      <c r="BE73" s="503"/>
      <c r="BF73" s="503"/>
      <c r="BG73" s="503"/>
      <c r="BH73" s="503"/>
      <c r="BI73" s="503"/>
      <c r="BJ73" s="503"/>
      <c r="BK73" s="503"/>
      <c r="BL73" s="503"/>
      <c r="BM73" s="503"/>
      <c r="BN73" s="503"/>
      <c r="BO73" s="503"/>
      <c r="BP73" s="503"/>
      <c r="BQ73" s="503"/>
      <c r="BR73" s="503"/>
      <c r="BS73" s="503"/>
      <c r="BT73" s="503"/>
      <c r="BU73" s="503"/>
      <c r="BV73" s="503"/>
      <c r="BW73" s="503"/>
      <c r="BX73" s="503"/>
      <c r="BY73" s="503"/>
      <c r="BZ73" s="503"/>
      <c r="CA73" s="503"/>
      <c r="CB73" s="503"/>
    </row>
    <row r="74" spans="2:80" ht="16.5">
      <c r="B74" s="876" t="s">
        <v>455</v>
      </c>
      <c r="C74" s="877"/>
      <c r="D74" s="504"/>
      <c r="E74" s="504" t="s">
        <v>456</v>
      </c>
      <c r="F74" s="504" t="s">
        <v>457</v>
      </c>
      <c r="G74" s="504"/>
      <c r="H74" s="504"/>
      <c r="I74" s="867" t="s">
        <v>458</v>
      </c>
      <c r="J74" s="868"/>
      <c r="K74" s="868"/>
      <c r="L74" s="868"/>
      <c r="M74" s="868"/>
      <c r="N74" s="869"/>
      <c r="O74" s="867" t="s">
        <v>459</v>
      </c>
      <c r="P74" s="868"/>
      <c r="Q74" s="868"/>
      <c r="R74" s="868"/>
      <c r="S74" s="868"/>
      <c r="T74" s="869"/>
      <c r="U74" s="867" t="s">
        <v>460</v>
      </c>
      <c r="V74" s="868"/>
      <c r="W74" s="868"/>
      <c r="X74" s="868"/>
      <c r="Y74" s="868"/>
      <c r="Z74" s="869"/>
      <c r="AA74" s="867" t="s">
        <v>461</v>
      </c>
      <c r="AB74" s="868"/>
      <c r="AC74" s="868"/>
      <c r="AD74" s="868"/>
      <c r="AE74" s="868"/>
      <c r="AF74" s="869"/>
      <c r="AG74" s="867" t="s">
        <v>462</v>
      </c>
      <c r="AH74" s="868"/>
      <c r="AI74" s="868"/>
      <c r="AJ74" s="868"/>
      <c r="AK74" s="868"/>
      <c r="AL74" s="869"/>
      <c r="AM74" s="867" t="s">
        <v>463</v>
      </c>
      <c r="AN74" s="868"/>
      <c r="AO74" s="868"/>
      <c r="AP74" s="868"/>
      <c r="AQ74" s="868"/>
      <c r="AR74" s="869"/>
      <c r="AS74" s="867" t="s">
        <v>464</v>
      </c>
      <c r="AT74" s="868"/>
      <c r="AU74" s="868"/>
      <c r="AV74" s="868"/>
      <c r="AW74" s="868"/>
      <c r="AX74" s="869"/>
      <c r="AY74" s="867" t="s">
        <v>465</v>
      </c>
      <c r="AZ74" s="868"/>
      <c r="BA74" s="868"/>
      <c r="BB74" s="868"/>
      <c r="BC74" s="868"/>
      <c r="BD74" s="869"/>
      <c r="BE74" s="867" t="s">
        <v>466</v>
      </c>
      <c r="BF74" s="868"/>
      <c r="BG74" s="868"/>
      <c r="BH74" s="868"/>
      <c r="BI74" s="868"/>
      <c r="BJ74" s="869"/>
      <c r="BK74" s="867" t="s">
        <v>467</v>
      </c>
      <c r="BL74" s="868"/>
      <c r="BM74" s="868"/>
      <c r="BN74" s="868"/>
      <c r="BO74" s="868"/>
      <c r="BP74" s="869"/>
      <c r="BQ74" s="867" t="s">
        <v>468</v>
      </c>
      <c r="BR74" s="868"/>
      <c r="BS74" s="868"/>
      <c r="BT74" s="868"/>
      <c r="BU74" s="868"/>
      <c r="BV74" s="869"/>
      <c r="BW74" s="867" t="s">
        <v>469</v>
      </c>
      <c r="BX74" s="868"/>
      <c r="BY74" s="868"/>
      <c r="BZ74" s="868"/>
      <c r="CA74" s="868"/>
      <c r="CB74" s="869"/>
    </row>
    <row r="75" spans="2:80" ht="17.25" thickBot="1">
      <c r="B75" s="505"/>
      <c r="C75" s="506"/>
      <c r="D75" s="506"/>
      <c r="E75" s="506"/>
      <c r="F75" s="506"/>
      <c r="G75" s="506"/>
      <c r="H75" s="506"/>
      <c r="I75" s="505"/>
      <c r="J75" s="506"/>
      <c r="K75" s="506"/>
      <c r="L75" s="506"/>
      <c r="M75" s="506"/>
      <c r="N75" s="507"/>
      <c r="O75" s="505"/>
      <c r="P75" s="506"/>
      <c r="Q75" s="506"/>
      <c r="R75" s="506"/>
      <c r="S75" s="506"/>
      <c r="T75" s="507"/>
      <c r="U75" s="505"/>
      <c r="V75" s="506"/>
      <c r="W75" s="506"/>
      <c r="X75" s="506"/>
      <c r="Y75" s="506"/>
      <c r="Z75" s="507"/>
      <c r="AA75" s="505"/>
      <c r="AB75" s="506"/>
      <c r="AC75" s="506"/>
      <c r="AD75" s="506"/>
      <c r="AE75" s="506"/>
      <c r="AF75" s="507"/>
      <c r="AG75" s="505"/>
      <c r="AH75" s="506"/>
      <c r="AI75" s="506"/>
      <c r="AJ75" s="506"/>
      <c r="AK75" s="506"/>
      <c r="AL75" s="507"/>
      <c r="AM75" s="505"/>
      <c r="AN75" s="506"/>
      <c r="AO75" s="506"/>
      <c r="AP75" s="506"/>
      <c r="AQ75" s="506"/>
      <c r="AR75" s="507"/>
      <c r="AS75" s="506"/>
      <c r="AT75" s="506"/>
      <c r="AU75" s="506"/>
      <c r="AV75" s="506"/>
      <c r="AW75" s="506"/>
      <c r="AX75" s="507"/>
      <c r="AY75" s="505"/>
      <c r="AZ75" s="506"/>
      <c r="BA75" s="506"/>
      <c r="BB75" s="506"/>
      <c r="BC75" s="506"/>
      <c r="BD75" s="507"/>
      <c r="BE75" s="505"/>
      <c r="BF75" s="506"/>
      <c r="BG75" s="506"/>
      <c r="BH75" s="506"/>
      <c r="BI75" s="506"/>
      <c r="BJ75" s="507"/>
      <c r="BK75" s="505"/>
      <c r="BL75" s="506"/>
      <c r="BM75" s="506"/>
      <c r="BN75" s="506"/>
      <c r="BO75" s="506"/>
      <c r="BP75" s="507"/>
      <c r="BQ75" s="506"/>
      <c r="BR75" s="506"/>
      <c r="BS75" s="506"/>
      <c r="BT75" s="506"/>
      <c r="BU75" s="506"/>
      <c r="BV75" s="507"/>
      <c r="BW75" s="505"/>
      <c r="BX75" s="506"/>
      <c r="BY75" s="506"/>
      <c r="BZ75" s="506"/>
      <c r="CA75" s="506"/>
      <c r="CB75" s="507"/>
    </row>
    <row r="76" spans="2:80" ht="18" thickTop="1" thickBot="1">
      <c r="B76" s="508"/>
      <c r="C76" s="509"/>
      <c r="D76" s="509"/>
      <c r="E76" s="509"/>
      <c r="F76" s="509"/>
      <c r="G76" s="509"/>
      <c r="H76" s="509"/>
      <c r="I76" s="508"/>
      <c r="J76" s="509"/>
      <c r="K76" s="509"/>
      <c r="L76" s="509"/>
      <c r="M76" s="509"/>
      <c r="N76" s="510"/>
      <c r="O76" s="508"/>
      <c r="P76" s="509"/>
      <c r="Q76" s="509"/>
      <c r="R76" s="509"/>
      <c r="S76" s="509"/>
      <c r="T76" s="510"/>
      <c r="U76" s="508"/>
      <c r="V76" s="509"/>
      <c r="W76" s="509"/>
      <c r="X76" s="509"/>
      <c r="Y76" s="509"/>
      <c r="Z76" s="510"/>
      <c r="AA76" s="508"/>
      <c r="AB76" s="509"/>
      <c r="AC76" s="509"/>
      <c r="AD76" s="509"/>
      <c r="AE76" s="509"/>
      <c r="AF76" s="510"/>
      <c r="AG76" s="508"/>
      <c r="AH76" s="509"/>
      <c r="AI76" s="509"/>
      <c r="AJ76" s="509"/>
      <c r="AK76" s="509"/>
      <c r="AL76" s="510"/>
      <c r="AM76" s="508"/>
      <c r="AN76" s="509"/>
      <c r="AO76" s="509"/>
      <c r="AP76" s="509"/>
      <c r="AQ76" s="509"/>
      <c r="AR76" s="510"/>
      <c r="AS76" s="509"/>
      <c r="AT76" s="509"/>
      <c r="AU76" s="509"/>
      <c r="AV76" s="509"/>
      <c r="AW76" s="509"/>
      <c r="AX76" s="510"/>
      <c r="AY76" s="508"/>
      <c r="AZ76" s="509"/>
      <c r="BA76" s="509"/>
      <c r="BB76" s="509"/>
      <c r="BC76" s="509"/>
      <c r="BD76" s="510"/>
      <c r="BE76" s="508"/>
      <c r="BF76" s="509"/>
      <c r="BG76" s="509"/>
      <c r="BH76" s="509"/>
      <c r="BI76" s="509"/>
      <c r="BJ76" s="510"/>
      <c r="BK76" s="508"/>
      <c r="BL76" s="509"/>
      <c r="BM76" s="509"/>
      <c r="BN76" s="509"/>
      <c r="BO76" s="509"/>
      <c r="BP76" s="510"/>
      <c r="BQ76" s="511"/>
      <c r="BR76" s="512"/>
      <c r="BS76" s="512"/>
      <c r="BT76" s="512"/>
      <c r="BU76" s="503"/>
      <c r="BV76" s="513"/>
      <c r="BW76" s="502"/>
      <c r="BX76" s="503"/>
      <c r="BY76" s="503"/>
      <c r="BZ76" s="503"/>
      <c r="CA76" s="512"/>
      <c r="CB76" s="514"/>
    </row>
    <row r="77" spans="2:80" ht="16.5">
      <c r="B77" s="623">
        <v>2</v>
      </c>
      <c r="C77" s="870" t="s">
        <v>239</v>
      </c>
      <c r="D77" s="870"/>
      <c r="E77" s="870"/>
      <c r="F77" s="624"/>
      <c r="G77" s="625"/>
      <c r="H77" s="626"/>
      <c r="I77" s="627"/>
      <c r="J77" s="565"/>
      <c r="K77" s="565"/>
      <c r="L77" s="565"/>
      <c r="M77" s="565"/>
      <c r="N77" s="628"/>
      <c r="O77" s="565"/>
      <c r="P77" s="565"/>
      <c r="Q77" s="565"/>
      <c r="R77" s="565"/>
      <c r="S77" s="565"/>
      <c r="T77" s="628"/>
      <c r="U77" s="627"/>
      <c r="V77" s="565"/>
      <c r="W77" s="565"/>
      <c r="X77" s="565"/>
      <c r="Y77" s="565"/>
      <c r="Z77" s="628"/>
      <c r="AA77" s="627"/>
      <c r="AB77" s="565"/>
      <c r="AC77" s="565"/>
      <c r="AD77" s="565"/>
      <c r="AE77" s="565"/>
      <c r="AF77" s="628"/>
      <c r="AG77" s="627"/>
      <c r="AH77" s="565"/>
      <c r="AI77" s="565"/>
      <c r="AJ77" s="565"/>
      <c r="AK77" s="565"/>
      <c r="AL77" s="628"/>
      <c r="AM77" s="627"/>
      <c r="AN77" s="565"/>
      <c r="AO77" s="565"/>
      <c r="AP77" s="565"/>
      <c r="AQ77" s="565"/>
      <c r="AR77" s="628"/>
      <c r="AS77" s="565"/>
      <c r="AT77" s="565"/>
      <c r="AU77" s="565"/>
      <c r="AV77" s="565"/>
      <c r="AW77" s="565"/>
      <c r="AX77" s="628"/>
      <c r="AY77" s="627"/>
      <c r="AZ77" s="565"/>
      <c r="BA77" s="565"/>
      <c r="BB77" s="565"/>
      <c r="BC77" s="565"/>
      <c r="BD77" s="628"/>
      <c r="BE77" s="627"/>
      <c r="BF77" s="565"/>
      <c r="BG77" s="565"/>
      <c r="BH77" s="565"/>
      <c r="BI77" s="565"/>
      <c r="BJ77" s="628"/>
      <c r="BK77" s="627"/>
      <c r="BL77" s="565"/>
      <c r="BM77" s="565"/>
      <c r="BN77" s="565"/>
      <c r="BO77" s="565"/>
      <c r="BP77" s="628"/>
      <c r="BQ77" s="565"/>
      <c r="BR77" s="565"/>
      <c r="BS77" s="565"/>
      <c r="BT77" s="565"/>
      <c r="BU77" s="565"/>
      <c r="BV77" s="628"/>
      <c r="BW77" s="627"/>
      <c r="BX77" s="565"/>
      <c r="BY77" s="565"/>
      <c r="BZ77" s="565"/>
      <c r="CA77" s="565"/>
      <c r="CB77" s="628"/>
    </row>
    <row r="78" spans="2:80" ht="16.5">
      <c r="B78" s="515"/>
      <c r="C78" s="629"/>
      <c r="D78" s="629"/>
      <c r="E78" s="629"/>
      <c r="F78" s="532"/>
      <c r="G78" s="366"/>
      <c r="H78" s="503"/>
      <c r="I78" s="526"/>
      <c r="J78" s="512"/>
      <c r="K78" s="512"/>
      <c r="L78" s="512"/>
      <c r="M78" s="512"/>
      <c r="N78" s="513"/>
      <c r="O78" s="512"/>
      <c r="P78" s="512"/>
      <c r="Q78" s="512"/>
      <c r="R78" s="512"/>
      <c r="S78" s="512"/>
      <c r="T78" s="513"/>
      <c r="U78" s="871"/>
      <c r="V78" s="872"/>
      <c r="W78" s="872"/>
      <c r="X78" s="872"/>
      <c r="Y78" s="872"/>
      <c r="Z78" s="873"/>
      <c r="AA78" s="857"/>
      <c r="AB78" s="872"/>
      <c r="AC78" s="872"/>
      <c r="AD78" s="872"/>
      <c r="AE78" s="872"/>
      <c r="AF78" s="873"/>
      <c r="AG78" s="871"/>
      <c r="AH78" s="872"/>
      <c r="AI78" s="872"/>
      <c r="AJ78" s="872"/>
      <c r="AK78" s="872"/>
      <c r="AL78" s="873"/>
      <c r="AM78" s="871"/>
      <c r="AN78" s="872"/>
      <c r="AO78" s="872"/>
      <c r="AP78" s="872"/>
      <c r="AQ78" s="872"/>
      <c r="AR78" s="873"/>
      <c r="AS78" s="512"/>
      <c r="AT78" s="512"/>
      <c r="AU78" s="512"/>
      <c r="AV78" s="512"/>
      <c r="AW78" s="512"/>
      <c r="AX78" s="513"/>
      <c r="AY78" s="526"/>
      <c r="AZ78" s="512"/>
      <c r="BA78" s="512"/>
      <c r="BB78" s="512"/>
      <c r="BC78" s="512"/>
      <c r="BD78" s="513"/>
      <c r="BE78" s="526"/>
      <c r="BF78" s="512"/>
      <c r="BG78" s="512"/>
      <c r="BH78" s="512"/>
      <c r="BI78" s="512"/>
      <c r="BJ78" s="513"/>
      <c r="BK78" s="526"/>
      <c r="BL78" s="512"/>
      <c r="BM78" s="512"/>
      <c r="BN78" s="512"/>
      <c r="BO78" s="512"/>
      <c r="BP78" s="513"/>
      <c r="BQ78" s="512"/>
      <c r="BR78" s="512"/>
      <c r="BS78" s="512"/>
      <c r="BT78" s="512"/>
      <c r="BU78" s="512"/>
      <c r="BV78" s="513"/>
      <c r="BW78" s="526"/>
      <c r="BX78" s="512"/>
      <c r="BY78" s="512"/>
      <c r="BZ78" s="512"/>
      <c r="CA78" s="512"/>
      <c r="CB78" s="513"/>
    </row>
    <row r="79" spans="2:80" ht="16.5">
      <c r="B79" s="529"/>
      <c r="C79" s="516" t="s">
        <v>474</v>
      </c>
      <c r="D79" s="847">
        <f>CPU!A2072</f>
        <v>0</v>
      </c>
      <c r="E79" s="847"/>
      <c r="F79" s="530"/>
      <c r="G79" s="523"/>
      <c r="H79" s="523"/>
      <c r="I79" s="522"/>
      <c r="J79" s="523"/>
      <c r="K79" s="523"/>
      <c r="L79" s="523"/>
      <c r="M79" s="523"/>
      <c r="N79" s="524"/>
      <c r="O79" s="525"/>
      <c r="P79" s="520"/>
      <c r="Q79" s="520"/>
      <c r="R79" s="520"/>
      <c r="S79" s="520"/>
      <c r="T79" s="521"/>
      <c r="U79" s="525"/>
      <c r="V79" s="520"/>
      <c r="W79" s="520"/>
      <c r="X79" s="520"/>
      <c r="Y79" s="520"/>
      <c r="Z79" s="521"/>
      <c r="AA79" s="525"/>
      <c r="AB79" s="520"/>
      <c r="AC79" s="520"/>
      <c r="AD79" s="520"/>
      <c r="AE79" s="520"/>
      <c r="AF79" s="521"/>
      <c r="AG79" s="525"/>
      <c r="AH79" s="520"/>
      <c r="AI79" s="520"/>
      <c r="AJ79" s="520"/>
      <c r="AK79" s="520"/>
      <c r="AL79" s="521"/>
      <c r="AM79" s="525"/>
      <c r="AN79" s="520"/>
      <c r="AO79" s="520"/>
      <c r="AP79" s="520"/>
      <c r="AQ79" s="520"/>
      <c r="AR79" s="521"/>
      <c r="AS79" s="520"/>
      <c r="AT79" s="520"/>
      <c r="AU79" s="520"/>
      <c r="AV79" s="520"/>
      <c r="AW79" s="520"/>
      <c r="AX79" s="521"/>
      <c r="AY79" s="525"/>
      <c r="AZ79" s="520"/>
      <c r="BA79" s="520"/>
      <c r="BB79" s="520"/>
      <c r="BC79" s="520"/>
      <c r="BD79" s="521"/>
      <c r="BE79" s="525"/>
      <c r="BF79" s="520"/>
      <c r="BG79" s="520"/>
      <c r="BH79" s="520"/>
      <c r="BI79" s="520"/>
      <c r="BJ79" s="521"/>
      <c r="BK79" s="525"/>
      <c r="BL79" s="520"/>
      <c r="BM79" s="520"/>
      <c r="BN79" s="520"/>
      <c r="BO79" s="520"/>
      <c r="BP79" s="521"/>
      <c r="BQ79" s="520"/>
      <c r="BR79" s="523"/>
      <c r="BS79" s="523"/>
      <c r="BT79" s="523"/>
      <c r="BU79" s="523"/>
      <c r="BV79" s="524"/>
      <c r="BW79" s="522"/>
      <c r="BX79" s="523"/>
      <c r="BY79" s="523"/>
      <c r="BZ79" s="523"/>
      <c r="CA79" s="523"/>
      <c r="CB79" s="524"/>
    </row>
    <row r="80" spans="2:80" ht="16.5">
      <c r="B80" s="529"/>
      <c r="C80" s="536"/>
      <c r="D80" s="630">
        <f>CPU!A2074</f>
        <v>0</v>
      </c>
      <c r="E80" s="530"/>
      <c r="F80" s="532" t="s">
        <v>100</v>
      </c>
      <c r="G80" s="631">
        <f>SUM(CPU!H381)</f>
        <v>0</v>
      </c>
      <c r="H80" s="503"/>
      <c r="I80" s="526"/>
      <c r="J80" s="512"/>
      <c r="K80" s="512"/>
      <c r="L80" s="512"/>
      <c r="M80" s="512"/>
      <c r="N80" s="513"/>
      <c r="O80" s="561"/>
      <c r="P80" s="533"/>
      <c r="Q80" s="533"/>
      <c r="R80" s="533"/>
      <c r="S80" s="533"/>
      <c r="T80" s="534"/>
      <c r="U80" s="561"/>
      <c r="V80" s="632"/>
      <c r="W80" s="633"/>
      <c r="X80" s="633"/>
      <c r="Y80" s="633"/>
      <c r="Z80" s="634"/>
      <c r="AA80" s="526"/>
      <c r="AB80" s="512"/>
      <c r="AC80" s="512"/>
      <c r="AD80" s="512"/>
      <c r="AE80" s="512"/>
      <c r="AF80" s="513"/>
      <c r="AG80" s="526"/>
      <c r="AH80" s="512"/>
      <c r="AI80" s="512"/>
      <c r="AJ80" s="512"/>
      <c r="AK80" s="512"/>
      <c r="AL80" s="513"/>
      <c r="AM80" s="526"/>
      <c r="AN80" s="512"/>
      <c r="AO80" s="512"/>
      <c r="AP80" s="512"/>
      <c r="AQ80" s="512"/>
      <c r="AR80" s="513"/>
      <c r="AS80" s="512"/>
      <c r="AT80" s="512"/>
      <c r="AU80" s="512"/>
      <c r="AV80" s="512"/>
      <c r="AW80" s="512"/>
      <c r="AX80" s="513"/>
      <c r="AY80" s="526"/>
      <c r="AZ80" s="512"/>
      <c r="BA80" s="512"/>
      <c r="BB80" s="512"/>
      <c r="BC80" s="512"/>
      <c r="BD80" s="513"/>
      <c r="BE80" s="526"/>
      <c r="BF80" s="512"/>
      <c r="BG80" s="512"/>
      <c r="BH80" s="512"/>
      <c r="BI80" s="512"/>
      <c r="BJ80" s="513"/>
      <c r="BK80" s="526"/>
      <c r="BL80" s="512"/>
      <c r="BM80" s="512"/>
      <c r="BN80" s="635"/>
      <c r="BO80" s="635"/>
      <c r="BP80" s="636"/>
      <c r="BQ80" s="635"/>
      <c r="BR80" s="512"/>
      <c r="BS80" s="512"/>
      <c r="BT80" s="512"/>
      <c r="BU80" s="512"/>
      <c r="BV80" s="513"/>
      <c r="BW80" s="526"/>
      <c r="BX80" s="512"/>
      <c r="BY80" s="512"/>
      <c r="BZ80" s="512"/>
      <c r="CA80" s="512"/>
      <c r="CB80" s="513"/>
    </row>
    <row r="81" spans="2:87" ht="16.5">
      <c r="B81" s="529"/>
      <c r="C81" s="536"/>
      <c r="D81" s="530"/>
      <c r="E81" s="537" t="s">
        <v>485</v>
      </c>
      <c r="F81" s="537" t="s">
        <v>486</v>
      </c>
      <c r="G81" s="553">
        <f>SUM(CPU!H365)</f>
        <v>0</v>
      </c>
      <c r="H81" s="523"/>
      <c r="I81" s="853"/>
      <c r="J81" s="845"/>
      <c r="K81" s="845"/>
      <c r="L81" s="845"/>
      <c r="M81" s="845"/>
      <c r="N81" s="846"/>
      <c r="O81" s="850">
        <v>30</v>
      </c>
      <c r="P81" s="851"/>
      <c r="Q81" s="848">
        <f>CPU!$H$358*CPU!$H$367/30*O81</f>
        <v>0</v>
      </c>
      <c r="R81" s="848"/>
      <c r="S81" s="848"/>
      <c r="T81" s="849"/>
      <c r="U81" s="850">
        <f>CPU!H369-30</f>
        <v>-30</v>
      </c>
      <c r="V81" s="851"/>
      <c r="W81" s="848">
        <f>CPU!$H$358*CPU!$H$367/30*U81</f>
        <v>0</v>
      </c>
      <c r="X81" s="848"/>
      <c r="Y81" s="848"/>
      <c r="Z81" s="849"/>
      <c r="AA81" s="850"/>
      <c r="AB81" s="851"/>
      <c r="AC81" s="848"/>
      <c r="AD81" s="848"/>
      <c r="AE81" s="848"/>
      <c r="AF81" s="849"/>
      <c r="AG81" s="850"/>
      <c r="AH81" s="851"/>
      <c r="AI81" s="848"/>
      <c r="AJ81" s="848"/>
      <c r="AK81" s="848"/>
      <c r="AL81" s="849"/>
      <c r="AM81" s="850"/>
      <c r="AN81" s="851"/>
      <c r="AO81" s="848"/>
      <c r="AP81" s="848"/>
      <c r="AQ81" s="848"/>
      <c r="AR81" s="849"/>
      <c r="AS81" s="850"/>
      <c r="AT81" s="851"/>
      <c r="AU81" s="848"/>
      <c r="AV81" s="848"/>
      <c r="AW81" s="848"/>
      <c r="AX81" s="849"/>
      <c r="AY81" s="850"/>
      <c r="AZ81" s="851"/>
      <c r="BA81" s="848"/>
      <c r="BB81" s="848"/>
      <c r="BC81" s="848"/>
      <c r="BD81" s="849"/>
      <c r="BE81" s="850"/>
      <c r="BF81" s="851"/>
      <c r="BG81" s="848"/>
      <c r="BH81" s="848"/>
      <c r="BI81" s="848"/>
      <c r="BJ81" s="849"/>
      <c r="BK81" s="850"/>
      <c r="BL81" s="851"/>
      <c r="BM81" s="848">
        <f>CPU!$H$358*CPU!$H$367/30*BK81</f>
        <v>0</v>
      </c>
      <c r="BN81" s="848"/>
      <c r="BO81" s="848"/>
      <c r="BP81" s="849"/>
      <c r="BQ81" s="850"/>
      <c r="BR81" s="851"/>
      <c r="BS81" s="848">
        <f>CPU!$H$358*CPU!$H$367/30*BQ81</f>
        <v>0</v>
      </c>
      <c r="BT81" s="848"/>
      <c r="BU81" s="848"/>
      <c r="BV81" s="849"/>
      <c r="BW81" s="852"/>
      <c r="BX81" s="845"/>
      <c r="BY81" s="845"/>
      <c r="BZ81" s="845"/>
      <c r="CA81" s="845"/>
      <c r="CB81" s="846"/>
    </row>
    <row r="82" spans="2:87" ht="16.5">
      <c r="B82" s="529"/>
      <c r="C82" s="536"/>
      <c r="D82" s="530"/>
      <c r="E82" s="537" t="s">
        <v>487</v>
      </c>
      <c r="F82" s="537" t="s">
        <v>488</v>
      </c>
      <c r="G82" s="553">
        <f>SUM(CPU!H379)</f>
        <v>0</v>
      </c>
      <c r="H82" s="523"/>
      <c r="I82" s="853"/>
      <c r="J82" s="845"/>
      <c r="K82" s="845"/>
      <c r="L82" s="845"/>
      <c r="M82" s="845"/>
      <c r="N82" s="846"/>
      <c r="O82" s="850"/>
      <c r="P82" s="851"/>
      <c r="Q82" s="848">
        <f>CPU!H359*CPU!H368</f>
        <v>9466028000</v>
      </c>
      <c r="R82" s="848"/>
      <c r="S82" s="848"/>
      <c r="T82" s="849"/>
      <c r="U82" s="850">
        <f>CPU!H373</f>
        <v>4734089.9493887993</v>
      </c>
      <c r="V82" s="851"/>
      <c r="W82" s="848">
        <f>CPU!$H$358*CPU!$H$367/30*U82</f>
        <v>0</v>
      </c>
      <c r="X82" s="848"/>
      <c r="Y82" s="848"/>
      <c r="Z82" s="849"/>
      <c r="AA82" s="850"/>
      <c r="AB82" s="851"/>
      <c r="AC82" s="848"/>
      <c r="AD82" s="848"/>
      <c r="AE82" s="848"/>
      <c r="AF82" s="849"/>
      <c r="AG82" s="850"/>
      <c r="AH82" s="851"/>
      <c r="AI82" s="848"/>
      <c r="AJ82" s="848"/>
      <c r="AK82" s="848"/>
      <c r="AL82" s="849"/>
      <c r="AM82" s="850"/>
      <c r="AN82" s="851"/>
      <c r="AO82" s="848"/>
      <c r="AP82" s="848"/>
      <c r="AQ82" s="848"/>
      <c r="AR82" s="849"/>
      <c r="AS82" s="850"/>
      <c r="AT82" s="851"/>
      <c r="AU82" s="848"/>
      <c r="AV82" s="848"/>
      <c r="AW82" s="848"/>
      <c r="AX82" s="849"/>
      <c r="AY82" s="850"/>
      <c r="AZ82" s="851"/>
      <c r="BA82" s="848"/>
      <c r="BB82" s="848"/>
      <c r="BC82" s="848"/>
      <c r="BD82" s="849"/>
      <c r="BE82" s="850"/>
      <c r="BF82" s="851"/>
      <c r="BG82" s="848"/>
      <c r="BH82" s="848"/>
      <c r="BI82" s="848"/>
      <c r="BJ82" s="849"/>
      <c r="BK82" s="850" t="e">
        <f>30-SUM(BK86:BL87,BK91:BL92,BK96:BL97,BK101:BL102,BK106:BL107,BK111:BL112)</f>
        <v>#REF!</v>
      </c>
      <c r="BL82" s="851"/>
      <c r="BM82" s="848" t="e">
        <f>CPU!$H$358*CPU!$H$367/30*BK82</f>
        <v>#REF!</v>
      </c>
      <c r="BN82" s="848"/>
      <c r="BO82" s="848"/>
      <c r="BP82" s="849"/>
      <c r="BQ82" s="850" t="e">
        <f>CPU!H377-BK82</f>
        <v>#REF!</v>
      </c>
      <c r="BR82" s="851"/>
      <c r="BS82" s="848" t="e">
        <f>CPU!$H$358*CPU!$H$367/30*BQ82</f>
        <v>#REF!</v>
      </c>
      <c r="BT82" s="848"/>
      <c r="BU82" s="848"/>
      <c r="BV82" s="849"/>
      <c r="BW82" s="852"/>
      <c r="BX82" s="845"/>
      <c r="BY82" s="845"/>
      <c r="BZ82" s="845"/>
      <c r="CA82" s="845"/>
      <c r="CB82" s="846"/>
    </row>
    <row r="83" spans="2:87" ht="16.5">
      <c r="B83" s="529"/>
      <c r="C83" s="536"/>
      <c r="D83" s="530"/>
      <c r="E83" s="530"/>
      <c r="F83" s="537" t="s">
        <v>171</v>
      </c>
      <c r="G83" s="538">
        <f>SUM(CPU!H2080)</f>
        <v>0</v>
      </c>
      <c r="H83" s="523"/>
      <c r="I83" s="844"/>
      <c r="J83" s="845"/>
      <c r="K83" s="845"/>
      <c r="L83" s="845"/>
      <c r="M83" s="845"/>
      <c r="N83" s="846"/>
      <c r="O83" s="844">
        <f>SUM(Q81:T82)*CPU!$H$2075</f>
        <v>0</v>
      </c>
      <c r="P83" s="845"/>
      <c r="Q83" s="845"/>
      <c r="R83" s="845"/>
      <c r="S83" s="845"/>
      <c r="T83" s="846"/>
      <c r="U83" s="844">
        <f>SUM(W81:Z82)*CPU!$H$2075</f>
        <v>0</v>
      </c>
      <c r="V83" s="845"/>
      <c r="W83" s="845"/>
      <c r="X83" s="845"/>
      <c r="Y83" s="845"/>
      <c r="Z83" s="846"/>
      <c r="AA83" s="844"/>
      <c r="AB83" s="845"/>
      <c r="AC83" s="845"/>
      <c r="AD83" s="845"/>
      <c r="AE83" s="845"/>
      <c r="AF83" s="846"/>
      <c r="AG83" s="844"/>
      <c r="AH83" s="845"/>
      <c r="AI83" s="845"/>
      <c r="AJ83" s="845"/>
      <c r="AK83" s="845"/>
      <c r="AL83" s="846"/>
      <c r="AM83" s="844"/>
      <c r="AN83" s="845"/>
      <c r="AO83" s="845"/>
      <c r="AP83" s="845"/>
      <c r="AQ83" s="845"/>
      <c r="AR83" s="846"/>
      <c r="AS83" s="844"/>
      <c r="AT83" s="845"/>
      <c r="AU83" s="845"/>
      <c r="AV83" s="845"/>
      <c r="AW83" s="845"/>
      <c r="AX83" s="846"/>
      <c r="AY83" s="844"/>
      <c r="AZ83" s="845"/>
      <c r="BA83" s="845"/>
      <c r="BB83" s="845"/>
      <c r="BC83" s="845"/>
      <c r="BD83" s="846"/>
      <c r="BE83" s="844"/>
      <c r="BF83" s="845"/>
      <c r="BG83" s="845"/>
      <c r="BH83" s="845"/>
      <c r="BI83" s="845"/>
      <c r="BJ83" s="846"/>
      <c r="BK83" s="844" t="e">
        <f>SUM(BM81:BP82)*CPU!$H$2075</f>
        <v>#REF!</v>
      </c>
      <c r="BL83" s="845"/>
      <c r="BM83" s="845"/>
      <c r="BN83" s="845"/>
      <c r="BO83" s="845"/>
      <c r="BP83" s="846"/>
      <c r="BQ83" s="844" t="e">
        <f>SUM(BS81:BV82)*CPU!$H$2075</f>
        <v>#REF!</v>
      </c>
      <c r="BR83" s="845"/>
      <c r="BS83" s="845"/>
      <c r="BT83" s="845"/>
      <c r="BU83" s="845"/>
      <c r="BV83" s="846"/>
      <c r="BW83" s="852"/>
      <c r="BX83" s="845"/>
      <c r="BY83" s="845"/>
      <c r="BZ83" s="845"/>
      <c r="CA83" s="845"/>
      <c r="CB83" s="846"/>
    </row>
    <row r="84" spans="2:87" ht="16.5">
      <c r="B84" s="531"/>
      <c r="C84" s="516"/>
      <c r="D84" s="847"/>
      <c r="E84" s="847"/>
      <c r="F84" s="530"/>
      <c r="G84" s="523"/>
      <c r="H84" s="503"/>
      <c r="I84" s="526"/>
      <c r="J84" s="512"/>
      <c r="K84" s="512"/>
      <c r="L84" s="512"/>
      <c r="M84" s="512"/>
      <c r="N84" s="513"/>
      <c r="O84" s="526"/>
      <c r="P84" s="512"/>
      <c r="Q84" s="512"/>
      <c r="R84" s="512"/>
      <c r="S84" s="512"/>
      <c r="T84" s="513"/>
      <c r="U84" s="526"/>
      <c r="V84" s="512"/>
      <c r="W84" s="512"/>
      <c r="X84" s="512"/>
      <c r="Y84" s="512"/>
      <c r="Z84" s="513"/>
      <c r="AA84" s="526"/>
      <c r="AB84" s="512"/>
      <c r="AC84" s="512"/>
      <c r="AD84" s="512"/>
      <c r="AE84" s="512"/>
      <c r="AF84" s="513"/>
      <c r="AG84" s="526"/>
      <c r="AH84" s="512"/>
      <c r="AI84" s="512"/>
      <c r="AJ84" s="512"/>
      <c r="AK84" s="512"/>
      <c r="AL84" s="513"/>
      <c r="AM84" s="526"/>
      <c r="AN84" s="512"/>
      <c r="AO84" s="512"/>
      <c r="AP84" s="512"/>
      <c r="AQ84" s="512"/>
      <c r="AR84" s="513"/>
      <c r="AS84" s="512"/>
      <c r="AT84" s="512"/>
      <c r="AU84" s="512"/>
      <c r="AV84" s="512"/>
      <c r="AW84" s="512"/>
      <c r="AX84" s="513"/>
      <c r="AY84" s="526"/>
      <c r="AZ84" s="512"/>
      <c r="BA84" s="512"/>
      <c r="BB84" s="512"/>
      <c r="BC84" s="512"/>
      <c r="BD84" s="513"/>
      <c r="BE84" s="526"/>
      <c r="BF84" s="512"/>
      <c r="BG84" s="512"/>
      <c r="BH84" s="512"/>
      <c r="BI84" s="512"/>
      <c r="BJ84" s="513"/>
      <c r="BK84" s="850"/>
      <c r="BL84" s="851"/>
      <c r="BM84" s="848"/>
      <c r="BN84" s="848"/>
      <c r="BO84" s="848"/>
      <c r="BP84" s="849"/>
      <c r="BQ84" s="852"/>
      <c r="BR84" s="845"/>
      <c r="BS84" s="845"/>
      <c r="BT84" s="845"/>
      <c r="BU84" s="845"/>
      <c r="BV84" s="846"/>
      <c r="BW84" s="526"/>
      <c r="BX84" s="512"/>
      <c r="BY84" s="512"/>
      <c r="BZ84" s="512"/>
      <c r="CA84" s="512"/>
      <c r="CB84" s="513"/>
    </row>
    <row r="85" spans="2:87" ht="16.5">
      <c r="B85" s="529"/>
      <c r="C85" s="536"/>
      <c r="D85" s="630">
        <f>CPU!A385</f>
        <v>0</v>
      </c>
      <c r="E85" s="530"/>
      <c r="F85" s="532" t="s">
        <v>100</v>
      </c>
      <c r="G85" s="631">
        <f>CPU!H481</f>
        <v>0</v>
      </c>
      <c r="H85" s="523"/>
      <c r="I85" s="522"/>
      <c r="J85" s="523"/>
      <c r="K85" s="523"/>
      <c r="L85" s="523"/>
      <c r="M85" s="523"/>
      <c r="N85" s="524"/>
      <c r="O85" s="852"/>
      <c r="P85" s="845"/>
      <c r="Q85" s="848"/>
      <c r="R85" s="848"/>
      <c r="S85" s="848"/>
      <c r="T85" s="849"/>
      <c r="U85" s="637"/>
      <c r="V85" s="638"/>
      <c r="W85" s="639"/>
      <c r="X85" s="639"/>
      <c r="Y85" s="639"/>
      <c r="Z85" s="640"/>
      <c r="AA85" s="641"/>
      <c r="AB85" s="638"/>
      <c r="AC85" s="638"/>
      <c r="AD85" s="638"/>
      <c r="AE85" s="638"/>
      <c r="AF85" s="642"/>
      <c r="AG85" s="850"/>
      <c r="AH85" s="851"/>
      <c r="AI85" s="848"/>
      <c r="AJ85" s="848"/>
      <c r="AK85" s="848"/>
      <c r="AL85" s="849"/>
      <c r="AM85" s="643"/>
      <c r="AN85" s="644"/>
      <c r="AO85" s="644"/>
      <c r="AP85" s="644"/>
      <c r="AQ85" s="644"/>
      <c r="AR85" s="645"/>
      <c r="AS85" s="646"/>
      <c r="AT85" s="644"/>
      <c r="AU85" s="644"/>
      <c r="AV85" s="644"/>
      <c r="AW85" s="644"/>
      <c r="AX85" s="647"/>
      <c r="AY85" s="522"/>
      <c r="AZ85" s="523"/>
      <c r="BA85" s="523"/>
      <c r="BB85" s="523"/>
      <c r="BC85" s="523"/>
      <c r="BD85" s="524"/>
      <c r="BE85" s="522"/>
      <c r="BF85" s="523"/>
      <c r="BG85" s="523"/>
      <c r="BH85" s="523"/>
      <c r="BI85" s="523"/>
      <c r="BJ85" s="524"/>
      <c r="BK85" s="522"/>
      <c r="BL85" s="523"/>
      <c r="BM85" s="523"/>
      <c r="BN85" s="523"/>
      <c r="BO85" s="523"/>
      <c r="BP85" s="524"/>
      <c r="BQ85" s="523"/>
      <c r="BR85" s="523"/>
      <c r="BS85" s="523"/>
      <c r="BT85" s="523"/>
      <c r="BU85" s="523"/>
      <c r="BV85" s="524"/>
      <c r="BW85" s="522"/>
      <c r="BX85" s="523"/>
      <c r="BY85" s="523"/>
      <c r="BZ85" s="523"/>
      <c r="CA85" s="523"/>
      <c r="CB85" s="524"/>
    </row>
    <row r="86" spans="2:87" ht="16.5">
      <c r="B86" s="529"/>
      <c r="C86" s="530"/>
      <c r="D86" s="530"/>
      <c r="E86" s="537" t="s">
        <v>485</v>
      </c>
      <c r="F86" s="537" t="s">
        <v>13</v>
      </c>
      <c r="G86" s="553">
        <f>CPU!H465</f>
        <v>0</v>
      </c>
      <c r="H86" s="523"/>
      <c r="I86" s="853"/>
      <c r="J86" s="845"/>
      <c r="K86" s="845"/>
      <c r="L86" s="845"/>
      <c r="M86" s="845"/>
      <c r="N86" s="846"/>
      <c r="O86" s="850"/>
      <c r="P86" s="851"/>
      <c r="Q86" s="848"/>
      <c r="R86" s="848"/>
      <c r="S86" s="848"/>
      <c r="T86" s="849"/>
      <c r="U86" s="850">
        <f>30-SUM(U81:V82)</f>
        <v>-4734029.9493887993</v>
      </c>
      <c r="V86" s="851"/>
      <c r="W86" s="848" t="e">
        <f>CPU!$H$458*CPU!$H$467/30*U86</f>
        <v>#VALUE!</v>
      </c>
      <c r="X86" s="848"/>
      <c r="Y86" s="848"/>
      <c r="Z86" s="849"/>
      <c r="AA86" s="850">
        <f>CPU!H469-U86</f>
        <v>4734029.9493887993</v>
      </c>
      <c r="AB86" s="851"/>
      <c r="AC86" s="848" t="e">
        <f>CPU!$H$458*CPU!$H$467/30*AA86</f>
        <v>#VALUE!</v>
      </c>
      <c r="AD86" s="848"/>
      <c r="AE86" s="848"/>
      <c r="AF86" s="849"/>
      <c r="AG86" s="850"/>
      <c r="AH86" s="851"/>
      <c r="AI86" s="848"/>
      <c r="AJ86" s="848"/>
      <c r="AK86" s="848"/>
      <c r="AL86" s="849"/>
      <c r="AM86" s="850"/>
      <c r="AN86" s="851"/>
      <c r="AO86" s="848"/>
      <c r="AP86" s="848"/>
      <c r="AQ86" s="848"/>
      <c r="AR86" s="849"/>
      <c r="AS86" s="850"/>
      <c r="AT86" s="851"/>
      <c r="AU86" s="848"/>
      <c r="AV86" s="848"/>
      <c r="AW86" s="848"/>
      <c r="AX86" s="849"/>
      <c r="AY86" s="850"/>
      <c r="AZ86" s="851"/>
      <c r="BA86" s="848"/>
      <c r="BB86" s="848"/>
      <c r="BC86" s="848"/>
      <c r="BD86" s="849"/>
      <c r="BE86" s="850"/>
      <c r="BF86" s="851"/>
      <c r="BG86" s="848"/>
      <c r="BH86" s="848"/>
      <c r="BI86" s="848"/>
      <c r="BJ86" s="849"/>
      <c r="BK86" s="850"/>
      <c r="BL86" s="851"/>
      <c r="BM86" s="848" t="e">
        <f>CPU!$H$458*CPU!$H$467/30*BK86</f>
        <v>#VALUE!</v>
      </c>
      <c r="BN86" s="848"/>
      <c r="BO86" s="848"/>
      <c r="BP86" s="849"/>
      <c r="BQ86" s="850"/>
      <c r="BR86" s="851"/>
      <c r="BS86" s="848" t="e">
        <f>CPU!$H$458*CPU!$H$467/30*BQ86</f>
        <v>#VALUE!</v>
      </c>
      <c r="BT86" s="848"/>
      <c r="BU86" s="848"/>
      <c r="BV86" s="849"/>
      <c r="BW86" s="852"/>
      <c r="BX86" s="845"/>
      <c r="BY86" s="845"/>
      <c r="BZ86" s="845"/>
      <c r="CA86" s="845"/>
      <c r="CB86" s="846"/>
    </row>
    <row r="87" spans="2:87" ht="16.5">
      <c r="B87" s="531"/>
      <c r="C87" s="516"/>
      <c r="D87" s="530"/>
      <c r="E87" s="537" t="s">
        <v>487</v>
      </c>
      <c r="F87" s="537" t="s">
        <v>13</v>
      </c>
      <c r="G87" s="553">
        <f>CPU!H479</f>
        <v>0</v>
      </c>
      <c r="H87" s="503"/>
      <c r="I87" s="853"/>
      <c r="J87" s="845"/>
      <c r="K87" s="845"/>
      <c r="L87" s="845"/>
      <c r="M87" s="845"/>
      <c r="N87" s="846"/>
      <c r="O87" s="850"/>
      <c r="P87" s="851"/>
      <c r="Q87" s="848"/>
      <c r="R87" s="848"/>
      <c r="S87" s="848"/>
      <c r="T87" s="849"/>
      <c r="U87" s="850"/>
      <c r="V87" s="851"/>
      <c r="W87" s="848" t="e">
        <f>CPU!$H$458*CPU!$H$467/30*U87</f>
        <v>#VALUE!</v>
      </c>
      <c r="X87" s="848"/>
      <c r="Y87" s="848"/>
      <c r="Z87" s="849"/>
      <c r="AA87" s="850" t="e">
        <f>[1]CPU!H476+#REF!*SUM(Cron_fis!O81,Cron_fis!U81,U82)/([1]CPU!$H$461/30*#REF!)</f>
        <v>#REF!</v>
      </c>
      <c r="AB87" s="851"/>
      <c r="AC87" s="866" t="e">
        <f>CPU!$H$458*CPU!$H$467/30*AA87</f>
        <v>#VALUE!</v>
      </c>
      <c r="AD87" s="848"/>
      <c r="AE87" s="848"/>
      <c r="AF87" s="849"/>
      <c r="AG87" s="850"/>
      <c r="AH87" s="851"/>
      <c r="AI87" s="848"/>
      <c r="AJ87" s="848"/>
      <c r="AK87" s="848"/>
      <c r="AL87" s="849"/>
      <c r="AM87" s="850"/>
      <c r="AN87" s="851"/>
      <c r="AO87" s="848"/>
      <c r="AP87" s="848"/>
      <c r="AQ87" s="848"/>
      <c r="AR87" s="849"/>
      <c r="AS87" s="850"/>
      <c r="AT87" s="851"/>
      <c r="AU87" s="848"/>
      <c r="AV87" s="848"/>
      <c r="AW87" s="848"/>
      <c r="AX87" s="849"/>
      <c r="AY87" s="850"/>
      <c r="AZ87" s="851"/>
      <c r="BA87" s="848"/>
      <c r="BB87" s="848"/>
      <c r="BC87" s="848"/>
      <c r="BD87" s="849"/>
      <c r="BE87" s="850"/>
      <c r="BF87" s="851"/>
      <c r="BG87" s="848"/>
      <c r="BH87" s="848"/>
      <c r="BI87" s="848"/>
      <c r="BJ87" s="849"/>
      <c r="BK87" s="850" t="e">
        <f>#REF!*SUM(AA91:AB92,AG91:AH92,AG96:AH97,AG101:AH102,AM101:AN102,AS101:AT102,AY101:AZ102,BE101:BF102,BE106:BF107,BK101:BL102,BK106:BL107,BK111:BL112,BK96:BL97,BK91:BL92,BE87)/([1]CPU!$H$461/30*#REF!)</f>
        <v>#REF!</v>
      </c>
      <c r="BL87" s="851"/>
      <c r="BM87" s="848" t="e">
        <f>[1]CPU!$H$461*[1]CPU!$H$470/30*BK87</f>
        <v>#REF!</v>
      </c>
      <c r="BN87" s="848"/>
      <c r="BO87" s="848"/>
      <c r="BP87" s="849"/>
      <c r="BQ87" s="850" t="e">
        <f>[1]CPU!H480-BK87-AA87+[1]CPU!H476</f>
        <v>#REF!</v>
      </c>
      <c r="BR87" s="851"/>
      <c r="BS87" s="848" t="e">
        <f>[1]CPU!$H$461*[1]CPU!$H$470/30*BQ87</f>
        <v>#REF!</v>
      </c>
      <c r="BT87" s="848"/>
      <c r="BU87" s="848"/>
      <c r="BV87" s="849"/>
      <c r="BW87" s="844"/>
      <c r="BX87" s="845"/>
      <c r="BY87" s="845"/>
      <c r="BZ87" s="845"/>
      <c r="CA87" s="845"/>
      <c r="CB87" s="846"/>
    </row>
    <row r="88" spans="2:87" ht="16.5">
      <c r="B88" s="529"/>
      <c r="C88" s="536"/>
      <c r="D88" s="530"/>
      <c r="E88" s="530"/>
      <c r="F88" s="537" t="s">
        <v>171</v>
      </c>
      <c r="G88" s="538">
        <f>SUM([1]CPU!H2156)</f>
        <v>29645407.669999998</v>
      </c>
      <c r="H88" s="523"/>
      <c r="I88" s="844"/>
      <c r="J88" s="845"/>
      <c r="K88" s="845"/>
      <c r="L88" s="845"/>
      <c r="M88" s="845"/>
      <c r="N88" s="846"/>
      <c r="O88" s="844"/>
      <c r="P88" s="845"/>
      <c r="Q88" s="845"/>
      <c r="R88" s="845"/>
      <c r="S88" s="845"/>
      <c r="T88" s="846"/>
      <c r="U88" s="844" t="e">
        <f>SUM(W86:Z87)*[1]CPU!$H$2151</f>
        <v>#VALUE!</v>
      </c>
      <c r="V88" s="861"/>
      <c r="W88" s="861"/>
      <c r="X88" s="861"/>
      <c r="Y88" s="861"/>
      <c r="Z88" s="862"/>
      <c r="AA88" s="863" t="e">
        <f>SUM(AC86:AF87)*[1]CPU!$H$2151</f>
        <v>#VALUE!</v>
      </c>
      <c r="AB88" s="864"/>
      <c r="AC88" s="864"/>
      <c r="AD88" s="864"/>
      <c r="AE88" s="864"/>
      <c r="AF88" s="865"/>
      <c r="AG88" s="844"/>
      <c r="AH88" s="845"/>
      <c r="AI88" s="845"/>
      <c r="AJ88" s="845"/>
      <c r="AK88" s="845"/>
      <c r="AL88" s="846"/>
      <c r="AM88" s="844"/>
      <c r="AN88" s="845"/>
      <c r="AO88" s="845"/>
      <c r="AP88" s="845"/>
      <c r="AQ88" s="845"/>
      <c r="AR88" s="846"/>
      <c r="AS88" s="844"/>
      <c r="AT88" s="845"/>
      <c r="AU88" s="845"/>
      <c r="AV88" s="845"/>
      <c r="AW88" s="845"/>
      <c r="AX88" s="846"/>
      <c r="AY88" s="844"/>
      <c r="AZ88" s="845"/>
      <c r="BA88" s="845"/>
      <c r="BB88" s="845"/>
      <c r="BC88" s="845"/>
      <c r="BD88" s="846"/>
      <c r="BE88" s="844"/>
      <c r="BF88" s="845"/>
      <c r="BG88" s="845"/>
      <c r="BH88" s="845"/>
      <c r="BI88" s="845"/>
      <c r="BJ88" s="846"/>
      <c r="BK88" s="844" t="e">
        <f>SUM(BM86:BP87)*[1]CPU!$H$2151</f>
        <v>#VALUE!</v>
      </c>
      <c r="BL88" s="845"/>
      <c r="BM88" s="845"/>
      <c r="BN88" s="845"/>
      <c r="BO88" s="845"/>
      <c r="BP88" s="846"/>
      <c r="BQ88" s="844" t="e">
        <f>SUM(BS86:BV87)*[1]CPU!$H$2151</f>
        <v>#VALUE!</v>
      </c>
      <c r="BR88" s="845"/>
      <c r="BS88" s="845"/>
      <c r="BT88" s="845"/>
      <c r="BU88" s="845"/>
      <c r="BV88" s="846"/>
      <c r="BW88" s="522"/>
      <c r="BX88" s="523"/>
      <c r="BY88" s="523"/>
      <c r="BZ88" s="523"/>
      <c r="CA88" s="523"/>
      <c r="CB88" s="524"/>
    </row>
    <row r="89" spans="2:87" ht="16.5">
      <c r="B89" s="531"/>
      <c r="C89" s="516"/>
      <c r="D89" s="847"/>
      <c r="E89" s="847"/>
      <c r="F89" s="530"/>
      <c r="G89" s="523"/>
      <c r="H89" s="503"/>
      <c r="I89" s="526"/>
      <c r="J89" s="512"/>
      <c r="K89" s="512"/>
      <c r="L89" s="512"/>
      <c r="M89" s="512"/>
      <c r="N89" s="513"/>
      <c r="O89" s="526"/>
      <c r="P89" s="512"/>
      <c r="Q89" s="512"/>
      <c r="R89" s="512"/>
      <c r="S89" s="512"/>
      <c r="T89" s="513"/>
      <c r="U89" s="526"/>
      <c r="V89" s="512"/>
      <c r="W89" s="512"/>
      <c r="X89" s="512"/>
      <c r="Y89" s="512"/>
      <c r="Z89" s="513"/>
      <c r="AA89" s="643"/>
      <c r="AB89" s="644"/>
      <c r="AC89" s="644"/>
      <c r="AD89" s="644"/>
      <c r="AE89" s="644"/>
      <c r="AF89" s="645"/>
      <c r="AG89" s="646"/>
      <c r="AH89" s="644"/>
      <c r="AI89" s="644"/>
      <c r="AJ89" s="644"/>
      <c r="AK89" s="644"/>
      <c r="AL89" s="647"/>
      <c r="AM89" s="526"/>
      <c r="AN89" s="512"/>
      <c r="AO89" s="512"/>
      <c r="AP89" s="512"/>
      <c r="AQ89" s="512"/>
      <c r="AR89" s="513"/>
      <c r="AS89" s="643"/>
      <c r="AT89" s="644"/>
      <c r="AU89" s="644"/>
      <c r="AV89" s="644"/>
      <c r="AW89" s="644"/>
      <c r="AX89" s="645"/>
      <c r="AY89" s="646"/>
      <c r="AZ89" s="644"/>
      <c r="BA89" s="644"/>
      <c r="BB89" s="644"/>
      <c r="BC89" s="644"/>
      <c r="BD89" s="647"/>
      <c r="BE89" s="526"/>
      <c r="BF89" s="512"/>
      <c r="BG89" s="512"/>
      <c r="BH89" s="512"/>
      <c r="BI89" s="512"/>
      <c r="BJ89" s="513"/>
      <c r="BK89" s="526"/>
      <c r="BL89" s="512"/>
      <c r="BM89" s="512"/>
      <c r="BN89" s="512"/>
      <c r="BO89" s="512"/>
      <c r="BP89" s="513"/>
      <c r="BQ89" s="512"/>
      <c r="BR89" s="512"/>
      <c r="BS89" s="512"/>
      <c r="BT89" s="512"/>
      <c r="BU89" s="512"/>
      <c r="BV89" s="513"/>
      <c r="BW89" s="526"/>
      <c r="BX89" s="512"/>
      <c r="BY89" s="512"/>
      <c r="BZ89" s="512"/>
      <c r="CA89" s="512"/>
      <c r="CB89" s="513"/>
    </row>
    <row r="90" spans="2:87" ht="16.5">
      <c r="B90" s="529"/>
      <c r="C90" s="536"/>
      <c r="D90" s="630" t="str">
        <f>[1]CPU!A488</f>
        <v>BRAVO 2</v>
      </c>
      <c r="E90" s="530"/>
      <c r="F90" s="532" t="s">
        <v>100</v>
      </c>
      <c r="G90" s="631">
        <f>[1]CPU!H584</f>
        <v>33.347988878047914</v>
      </c>
      <c r="H90" s="532"/>
      <c r="I90" s="522"/>
      <c r="J90" s="523"/>
      <c r="K90" s="523"/>
      <c r="L90" s="523"/>
      <c r="M90" s="523"/>
      <c r="N90" s="524"/>
      <c r="O90" s="852"/>
      <c r="P90" s="845"/>
      <c r="Q90" s="848"/>
      <c r="R90" s="848"/>
      <c r="S90" s="848"/>
      <c r="T90" s="849"/>
      <c r="U90" s="850"/>
      <c r="V90" s="851"/>
      <c r="W90" s="848"/>
      <c r="X90" s="848"/>
      <c r="Y90" s="848"/>
      <c r="Z90" s="849"/>
      <c r="AA90" s="526"/>
      <c r="AB90" s="648"/>
      <c r="AC90" s="648"/>
      <c r="AD90" s="648"/>
      <c r="AE90" s="648"/>
      <c r="AF90" s="649"/>
      <c r="AG90" s="650"/>
      <c r="AH90" s="512"/>
      <c r="AI90" s="512"/>
      <c r="AJ90" s="512"/>
      <c r="AK90" s="512"/>
      <c r="AL90" s="513"/>
      <c r="AM90" s="522"/>
      <c r="AN90" s="523"/>
      <c r="AO90" s="523"/>
      <c r="AP90" s="523"/>
      <c r="AQ90" s="523"/>
      <c r="AR90" s="524"/>
      <c r="AS90" s="643"/>
      <c r="AT90" s="644"/>
      <c r="AU90" s="644"/>
      <c r="AV90" s="644"/>
      <c r="AW90" s="644"/>
      <c r="AX90" s="645"/>
      <c r="AY90" s="646"/>
      <c r="AZ90" s="644"/>
      <c r="BA90" s="644"/>
      <c r="BB90" s="644"/>
      <c r="BC90" s="644"/>
      <c r="BD90" s="647"/>
      <c r="BE90" s="522"/>
      <c r="BF90" s="523"/>
      <c r="BG90" s="523"/>
      <c r="BH90" s="523"/>
      <c r="BI90" s="523"/>
      <c r="BJ90" s="524"/>
      <c r="BK90" s="522"/>
      <c r="BL90" s="523"/>
      <c r="BM90" s="523"/>
      <c r="BN90" s="523"/>
      <c r="BO90" s="523"/>
      <c r="BP90" s="524"/>
      <c r="BQ90" s="523"/>
      <c r="BR90" s="523"/>
      <c r="BS90" s="523"/>
      <c r="BT90" s="523"/>
      <c r="BU90" s="523"/>
      <c r="BV90" s="524"/>
      <c r="BW90" s="522"/>
      <c r="BX90" s="523"/>
      <c r="BY90" s="523"/>
      <c r="BZ90" s="523"/>
      <c r="CA90" s="523"/>
      <c r="CB90" s="524"/>
    </row>
    <row r="91" spans="2:87" ht="16.5">
      <c r="B91" s="529"/>
      <c r="C91" s="530"/>
      <c r="D91" s="530"/>
      <c r="E91" s="537" t="s">
        <v>485</v>
      </c>
      <c r="F91" s="537" t="s">
        <v>13</v>
      </c>
      <c r="G91" s="553">
        <f>[1]CPU!H568</f>
        <v>1526202.45</v>
      </c>
      <c r="H91" s="523"/>
      <c r="I91" s="853"/>
      <c r="J91" s="845"/>
      <c r="K91" s="845"/>
      <c r="L91" s="845"/>
      <c r="M91" s="845"/>
      <c r="N91" s="846"/>
      <c r="O91" s="850"/>
      <c r="P91" s="851"/>
      <c r="Q91" s="848"/>
      <c r="R91" s="848"/>
      <c r="S91" s="848"/>
      <c r="T91" s="849"/>
      <c r="U91" s="850"/>
      <c r="V91" s="851"/>
      <c r="W91" s="848"/>
      <c r="X91" s="848"/>
      <c r="Y91" s="848"/>
      <c r="Z91" s="849"/>
      <c r="AA91" s="850" t="e">
        <f>30-SUM(AA86:AB87)</f>
        <v>#REF!</v>
      </c>
      <c r="AB91" s="851"/>
      <c r="AC91" s="848" t="e">
        <f>[1]CPU!$H$570*[1]CPU!$H$561/30*AA91</f>
        <v>#REF!</v>
      </c>
      <c r="AD91" s="848"/>
      <c r="AE91" s="848"/>
      <c r="AF91" s="849"/>
      <c r="AG91" s="850" t="e">
        <f>[1]CPU!H572-AA91</f>
        <v>#REF!</v>
      </c>
      <c r="AH91" s="851"/>
      <c r="AI91" s="848" t="e">
        <f>[1]CPU!$H$570*[1]CPU!$H$561/30*AG91</f>
        <v>#REF!</v>
      </c>
      <c r="AJ91" s="848"/>
      <c r="AK91" s="848"/>
      <c r="AL91" s="849"/>
      <c r="AM91" s="850"/>
      <c r="AN91" s="851"/>
      <c r="AO91" s="848"/>
      <c r="AP91" s="848"/>
      <c r="AQ91" s="848"/>
      <c r="AR91" s="849"/>
      <c r="AS91" s="850"/>
      <c r="AT91" s="851"/>
      <c r="AU91" s="848"/>
      <c r="AV91" s="848"/>
      <c r="AW91" s="848"/>
      <c r="AX91" s="849"/>
      <c r="AY91" s="850"/>
      <c r="AZ91" s="851"/>
      <c r="BA91" s="848"/>
      <c r="BB91" s="848"/>
      <c r="BC91" s="848"/>
      <c r="BD91" s="849"/>
      <c r="BE91" s="850"/>
      <c r="BF91" s="851"/>
      <c r="BG91" s="848"/>
      <c r="BH91" s="848"/>
      <c r="BI91" s="848"/>
      <c r="BJ91" s="849"/>
      <c r="BK91" s="850"/>
      <c r="BL91" s="851"/>
      <c r="BM91" s="848">
        <f>[1]CPU!$H$570*[1]CPU!$H$561/30*BK91</f>
        <v>0</v>
      </c>
      <c r="BN91" s="848"/>
      <c r="BO91" s="848"/>
      <c r="BP91" s="849"/>
      <c r="BQ91" s="850"/>
      <c r="BR91" s="851"/>
      <c r="BS91" s="848">
        <f>[1]CPU!$H$570*[1]CPU!$H$561/30*BQ91</f>
        <v>0</v>
      </c>
      <c r="BT91" s="848"/>
      <c r="BU91" s="848"/>
      <c r="BV91" s="849"/>
      <c r="BW91" s="852"/>
      <c r="BX91" s="845"/>
      <c r="BY91" s="845"/>
      <c r="BZ91" s="845"/>
      <c r="CA91" s="845"/>
      <c r="CB91" s="846"/>
    </row>
    <row r="92" spans="2:87" ht="16.5">
      <c r="B92" s="531"/>
      <c r="C92" s="516"/>
      <c r="D92" s="530"/>
      <c r="E92" s="537" t="s">
        <v>487</v>
      </c>
      <c r="F92" s="537" t="s">
        <v>13</v>
      </c>
      <c r="G92" s="553">
        <f>[1]CPU!H582</f>
        <v>244413.03382519167</v>
      </c>
      <c r="H92" s="503"/>
      <c r="I92" s="853"/>
      <c r="J92" s="845"/>
      <c r="K92" s="845"/>
      <c r="L92" s="845"/>
      <c r="M92" s="845"/>
      <c r="N92" s="846"/>
      <c r="O92" s="850"/>
      <c r="P92" s="851"/>
      <c r="Q92" s="848"/>
      <c r="R92" s="848"/>
      <c r="S92" s="848"/>
      <c r="T92" s="849"/>
      <c r="U92" s="850"/>
      <c r="V92" s="851"/>
      <c r="W92" s="848"/>
      <c r="X92" s="848"/>
      <c r="Y92" s="848"/>
      <c r="Z92" s="849"/>
      <c r="AA92" s="850"/>
      <c r="AB92" s="851"/>
      <c r="AC92" s="848">
        <f>[1]CPU!$H$570*[1]CPU!$H$561/30*AA92</f>
        <v>0</v>
      </c>
      <c r="AD92" s="848"/>
      <c r="AE92" s="848"/>
      <c r="AF92" s="849"/>
      <c r="AG92" s="850" t="e">
        <f>[1]CPU!H576+#REF!*SUM(Cron_fis!AA86:AB87,Cron_fis!U86:V87,Cron_fis!U81:V82,Cron_fis!O81:P82)/([1]CPU!$H$561/30*#REF!)</f>
        <v>#REF!</v>
      </c>
      <c r="AH92" s="851"/>
      <c r="AI92" s="848" t="e">
        <f>[1]CPU!$H$570*[1]CPU!$H$561/30*AG92</f>
        <v>#REF!</v>
      </c>
      <c r="AJ92" s="848"/>
      <c r="AK92" s="848"/>
      <c r="AL92" s="849"/>
      <c r="AM92" s="850"/>
      <c r="AN92" s="851"/>
      <c r="AO92" s="848"/>
      <c r="AP92" s="848"/>
      <c r="AQ92" s="848"/>
      <c r="AR92" s="849"/>
      <c r="AS92" s="850"/>
      <c r="AT92" s="851"/>
      <c r="AU92" s="848"/>
      <c r="AV92" s="848"/>
      <c r="AW92" s="848"/>
      <c r="AX92" s="849"/>
      <c r="AY92" s="850"/>
      <c r="AZ92" s="851"/>
      <c r="BA92" s="848"/>
      <c r="BB92" s="848"/>
      <c r="BC92" s="848"/>
      <c r="BD92" s="849"/>
      <c r="BE92" s="850"/>
      <c r="BF92" s="851"/>
      <c r="BG92" s="848"/>
      <c r="BH92" s="848"/>
      <c r="BI92" s="848"/>
      <c r="BJ92" s="849"/>
      <c r="BK92" s="850" t="e">
        <f>#REF!*SUM(AG96:AH97,AG101,AM101:AN102,AS101:AT102,AY101:AZ102,BE101:BF102,BK101:BL102,BE106:BF107,BK106:BL107,BK111:BL112,BK96:BL97,BE92)/([1]CPU!$H$561/30*#REF!)</f>
        <v>#REF!</v>
      </c>
      <c r="BL92" s="851"/>
      <c r="BM92" s="848" t="e">
        <f>[1]CPU!$H$570*[1]CPU!$H$561/30*BK92</f>
        <v>#REF!</v>
      </c>
      <c r="BN92" s="848"/>
      <c r="BO92" s="848"/>
      <c r="BP92" s="849"/>
      <c r="BQ92" s="850" t="e">
        <f>[1]CPU!H580-SUM(BK92,AG92)+[1]CPU!H576</f>
        <v>#REF!</v>
      </c>
      <c r="BR92" s="851"/>
      <c r="BS92" s="848" t="e">
        <f>[1]CPU!$H$570*[1]CPU!$H$561/30*BQ92</f>
        <v>#REF!</v>
      </c>
      <c r="BT92" s="848"/>
      <c r="BU92" s="848"/>
      <c r="BV92" s="849"/>
      <c r="BW92" s="852"/>
      <c r="BX92" s="845"/>
      <c r="BY92" s="845"/>
      <c r="BZ92" s="845"/>
      <c r="CA92" s="845"/>
      <c r="CB92" s="846"/>
    </row>
    <row r="93" spans="2:87" ht="16.5">
      <c r="B93" s="529"/>
      <c r="C93" s="536"/>
      <c r="D93" s="530"/>
      <c r="E93" s="530"/>
      <c r="F93" s="537" t="s">
        <v>171</v>
      </c>
      <c r="G93" s="538">
        <f>[1]CPU!H2164</f>
        <v>33393808.030000001</v>
      </c>
      <c r="H93" s="523"/>
      <c r="I93" s="844"/>
      <c r="J93" s="845"/>
      <c r="K93" s="845"/>
      <c r="L93" s="845"/>
      <c r="M93" s="845"/>
      <c r="N93" s="846"/>
      <c r="O93" s="844"/>
      <c r="P93" s="845"/>
      <c r="Q93" s="845"/>
      <c r="R93" s="845"/>
      <c r="S93" s="845"/>
      <c r="T93" s="846"/>
      <c r="U93" s="844"/>
      <c r="V93" s="845"/>
      <c r="W93" s="845"/>
      <c r="X93" s="845"/>
      <c r="Y93" s="845"/>
      <c r="Z93" s="846"/>
      <c r="AA93" s="844" t="e">
        <f>SUM(AC91:AF92)*[1]CPU!$H$2159</f>
        <v>#REF!</v>
      </c>
      <c r="AB93" s="845"/>
      <c r="AC93" s="845"/>
      <c r="AD93" s="845"/>
      <c r="AE93" s="845"/>
      <c r="AF93" s="846"/>
      <c r="AG93" s="844" t="e">
        <f>SUM(AI91:AL92)*[1]CPU!$H$2159</f>
        <v>#REF!</v>
      </c>
      <c r="AH93" s="845"/>
      <c r="AI93" s="845"/>
      <c r="AJ93" s="845"/>
      <c r="AK93" s="845"/>
      <c r="AL93" s="846"/>
      <c r="AM93" s="844"/>
      <c r="AN93" s="845"/>
      <c r="AO93" s="845"/>
      <c r="AP93" s="845"/>
      <c r="AQ93" s="845"/>
      <c r="AR93" s="846"/>
      <c r="AS93" s="844"/>
      <c r="AT93" s="845"/>
      <c r="AU93" s="845"/>
      <c r="AV93" s="845"/>
      <c r="AW93" s="845"/>
      <c r="AX93" s="846"/>
      <c r="AY93" s="844"/>
      <c r="AZ93" s="845"/>
      <c r="BA93" s="845"/>
      <c r="BB93" s="845"/>
      <c r="BC93" s="845"/>
      <c r="BD93" s="846"/>
      <c r="BE93" s="844"/>
      <c r="BF93" s="845"/>
      <c r="BG93" s="845"/>
      <c r="BH93" s="845"/>
      <c r="BI93" s="845"/>
      <c r="BJ93" s="846"/>
      <c r="BK93" s="844" t="e">
        <f>SUM(BM91:BP92)*[1]CPU!$H$2159</f>
        <v>#REF!</v>
      </c>
      <c r="BL93" s="845"/>
      <c r="BM93" s="845"/>
      <c r="BN93" s="845"/>
      <c r="BO93" s="845"/>
      <c r="BP93" s="846"/>
      <c r="BQ93" s="844" t="e">
        <f>SUM(BS91:BV92)*[1]CPU!$H$2159</f>
        <v>#REF!</v>
      </c>
      <c r="BR93" s="845"/>
      <c r="BS93" s="845"/>
      <c r="BT93" s="845"/>
      <c r="BU93" s="845"/>
      <c r="BV93" s="846"/>
      <c r="BW93" s="522"/>
      <c r="BX93" s="523"/>
      <c r="BY93" s="523"/>
      <c r="BZ93" s="523"/>
      <c r="CA93" s="523"/>
      <c r="CB93" s="524"/>
    </row>
    <row r="94" spans="2:87" ht="17.25" customHeight="1">
      <c r="B94" s="531"/>
      <c r="C94" s="516"/>
      <c r="D94" s="847"/>
      <c r="E94" s="847"/>
      <c r="F94" s="530"/>
      <c r="G94" s="523"/>
      <c r="H94" s="503"/>
      <c r="I94" s="526"/>
      <c r="J94" s="512"/>
      <c r="K94" s="512"/>
      <c r="L94" s="512"/>
      <c r="M94" s="512"/>
      <c r="N94" s="513"/>
      <c r="O94" s="523"/>
      <c r="P94" s="523"/>
      <c r="Q94" s="523"/>
      <c r="R94" s="523"/>
      <c r="S94" s="523"/>
      <c r="T94" s="524"/>
      <c r="U94" s="522"/>
      <c r="V94" s="523"/>
      <c r="W94" s="523"/>
      <c r="X94" s="523"/>
      <c r="Y94" s="523"/>
      <c r="Z94" s="524"/>
      <c r="AA94" s="522"/>
      <c r="AB94" s="523"/>
      <c r="AC94" s="523"/>
      <c r="AD94" s="523"/>
      <c r="AE94" s="523"/>
      <c r="AF94" s="524"/>
      <c r="AG94" s="522"/>
      <c r="AH94" s="523"/>
      <c r="AI94" s="523"/>
      <c r="AJ94" s="523"/>
      <c r="AK94" s="523"/>
      <c r="AL94" s="524"/>
      <c r="AM94" s="526"/>
      <c r="AN94" s="512"/>
      <c r="AO94" s="512"/>
      <c r="AP94" s="512"/>
      <c r="AQ94" s="512"/>
      <c r="AR94" s="513"/>
      <c r="AS94" s="512"/>
      <c r="AT94" s="512"/>
      <c r="AU94" s="512"/>
      <c r="AV94" s="512"/>
      <c r="AW94" s="512"/>
      <c r="AX94" s="513"/>
      <c r="AY94" s="526"/>
      <c r="AZ94" s="512"/>
      <c r="BA94" s="542" t="e">
        <f>[1]CPU!H776+#REF!*SUM(Cron_fis!AG96:AH97,Cron_fis!AG91:AH92,Cron_fis!AA91:AB92,Cron_fis!AA86:AB87,Cron_fis!U86:V87,Cron_fis!U81:V82,Cron_fis!O81:P82)/([1]CPU!$H$761/30*#REF!)</f>
        <v>#REF!</v>
      </c>
      <c r="BB94" s="512"/>
      <c r="BC94" s="512"/>
      <c r="BD94" s="513"/>
      <c r="BE94" s="526"/>
      <c r="BF94" s="512"/>
      <c r="BG94" s="512"/>
      <c r="BH94" s="512"/>
      <c r="BI94" s="512"/>
      <c r="BJ94" s="513"/>
      <c r="BK94" s="526"/>
      <c r="BL94" s="512"/>
      <c r="BM94" s="512"/>
      <c r="BN94" s="512"/>
      <c r="BO94" s="512"/>
      <c r="BP94" s="513"/>
      <c r="BQ94" s="512"/>
      <c r="BR94" s="512"/>
      <c r="BS94" s="512"/>
      <c r="BT94" s="512"/>
      <c r="BU94" s="512"/>
      <c r="BV94" s="513"/>
      <c r="BW94" s="526"/>
      <c r="BX94" s="512"/>
      <c r="BY94" s="512"/>
      <c r="BZ94" s="512"/>
      <c r="CA94" s="512"/>
      <c r="CB94" s="513"/>
      <c r="CC94" s="546"/>
      <c r="CD94" s="546"/>
      <c r="CE94" s="546"/>
      <c r="CF94" s="546"/>
      <c r="CG94" s="546"/>
      <c r="CH94" s="546"/>
      <c r="CI94" s="546"/>
    </row>
    <row r="95" spans="2:87" ht="16.5">
      <c r="B95" s="529"/>
      <c r="C95" s="536"/>
      <c r="D95" s="651" t="str">
        <f>[1]CPU!A588</f>
        <v>SURDINHO Norte</v>
      </c>
      <c r="E95" s="530"/>
      <c r="F95" s="532" t="s">
        <v>100</v>
      </c>
      <c r="G95" s="631">
        <f>[1]CPU!H684</f>
        <v>8.6618509574010645</v>
      </c>
      <c r="H95" s="523"/>
      <c r="I95" s="522"/>
      <c r="J95" s="523"/>
      <c r="K95" s="523"/>
      <c r="L95" s="523"/>
      <c r="M95" s="523"/>
      <c r="N95" s="524"/>
      <c r="O95" s="852"/>
      <c r="P95" s="845"/>
      <c r="Q95" s="845"/>
      <c r="R95" s="845"/>
      <c r="S95" s="845"/>
      <c r="T95" s="846"/>
      <c r="U95" s="652"/>
      <c r="V95" s="653"/>
      <c r="W95" s="653"/>
      <c r="X95" s="653"/>
      <c r="Y95" s="653"/>
      <c r="Z95" s="654"/>
      <c r="AA95" s="652"/>
      <c r="AB95" s="653"/>
      <c r="AC95" s="653"/>
      <c r="AD95" s="653"/>
      <c r="AE95" s="653"/>
      <c r="AF95" s="654"/>
      <c r="AG95" s="652"/>
      <c r="AH95" s="555"/>
      <c r="AI95" s="655"/>
      <c r="AJ95" s="653"/>
      <c r="AK95" s="653"/>
      <c r="AL95" s="654"/>
      <c r="AM95" s="522"/>
      <c r="AN95" s="523"/>
      <c r="AO95" s="523"/>
      <c r="AP95" s="523"/>
      <c r="AQ95" s="523"/>
      <c r="AR95" s="524"/>
      <c r="AS95" s="523"/>
      <c r="AT95" s="523"/>
      <c r="AU95" s="523"/>
      <c r="AV95" s="523"/>
      <c r="AW95" s="523"/>
      <c r="AX95" s="524"/>
      <c r="AY95" s="522"/>
      <c r="AZ95" s="523"/>
      <c r="BA95" s="523"/>
      <c r="BB95" s="523"/>
      <c r="BC95" s="523"/>
      <c r="BD95" s="524"/>
      <c r="BE95" s="522"/>
      <c r="BF95" s="523"/>
      <c r="BG95" s="523"/>
      <c r="BH95" s="523"/>
      <c r="BI95" s="523"/>
      <c r="BJ95" s="524"/>
      <c r="BK95" s="522"/>
      <c r="BL95" s="523"/>
      <c r="BM95" s="523"/>
      <c r="BN95" s="523"/>
      <c r="BO95" s="523"/>
      <c r="BP95" s="524"/>
      <c r="BQ95" s="523"/>
      <c r="BR95" s="523"/>
      <c r="BS95" s="523"/>
      <c r="BT95" s="523"/>
      <c r="BU95" s="523"/>
      <c r="BV95" s="524"/>
      <c r="BW95" s="522"/>
      <c r="BX95" s="523"/>
      <c r="BY95" s="523"/>
      <c r="BZ95" s="523"/>
      <c r="CA95" s="523"/>
      <c r="CB95" s="524"/>
    </row>
    <row r="96" spans="2:87" ht="16.5">
      <c r="B96" s="529"/>
      <c r="C96" s="530"/>
      <c r="D96" s="530"/>
      <c r="E96" s="537" t="s">
        <v>485</v>
      </c>
      <c r="F96" s="537" t="s">
        <v>13</v>
      </c>
      <c r="G96" s="553">
        <f>[1]CPU!H668</f>
        <v>395634.42000000004</v>
      </c>
      <c r="H96" s="523"/>
      <c r="I96" s="853"/>
      <c r="J96" s="845"/>
      <c r="K96" s="845"/>
      <c r="L96" s="845"/>
      <c r="M96" s="845"/>
      <c r="N96" s="846"/>
      <c r="O96" s="850"/>
      <c r="P96" s="851"/>
      <c r="Q96" s="848"/>
      <c r="R96" s="848"/>
      <c r="S96" s="848"/>
      <c r="T96" s="849"/>
      <c r="U96" s="850"/>
      <c r="V96" s="851"/>
      <c r="W96" s="848"/>
      <c r="X96" s="848"/>
      <c r="Y96" s="848"/>
      <c r="Z96" s="849"/>
      <c r="AA96" s="850"/>
      <c r="AB96" s="851"/>
      <c r="AC96" s="848"/>
      <c r="AD96" s="848"/>
      <c r="AE96" s="848"/>
      <c r="AF96" s="849"/>
      <c r="AG96" s="850">
        <f>[1]CPU!H672</f>
        <v>8.5196900093465935</v>
      </c>
      <c r="AH96" s="851"/>
      <c r="AI96" s="848">
        <f>[1]CPU!$H$670*[1]CPU!$H$661/30*AG96</f>
        <v>395634.4200000001</v>
      </c>
      <c r="AJ96" s="848"/>
      <c r="AK96" s="848"/>
      <c r="AL96" s="849"/>
      <c r="AM96" s="850"/>
      <c r="AN96" s="851"/>
      <c r="AO96" s="848"/>
      <c r="AP96" s="848"/>
      <c r="AQ96" s="848"/>
      <c r="AR96" s="849"/>
      <c r="AS96" s="850"/>
      <c r="AT96" s="851"/>
      <c r="AU96" s="848"/>
      <c r="AV96" s="848"/>
      <c r="AW96" s="848"/>
      <c r="AX96" s="849"/>
      <c r="AY96" s="850"/>
      <c r="AZ96" s="851"/>
      <c r="BA96" s="848"/>
      <c r="BB96" s="848"/>
      <c r="BC96" s="848"/>
      <c r="BD96" s="849"/>
      <c r="BE96" s="850"/>
      <c r="BF96" s="851"/>
      <c r="BG96" s="848"/>
      <c r="BH96" s="848"/>
      <c r="BI96" s="848"/>
      <c r="BJ96" s="849"/>
      <c r="BK96" s="850"/>
      <c r="BL96" s="851"/>
      <c r="BM96" s="848">
        <f>[1]CPU!$H$670*[1]CPU!$H$661/30*BK96</f>
        <v>0</v>
      </c>
      <c r="BN96" s="848"/>
      <c r="BO96" s="848"/>
      <c r="BP96" s="849"/>
      <c r="BQ96" s="850"/>
      <c r="BR96" s="851"/>
      <c r="BS96" s="848">
        <f>[1]CPU!$H$670*[1]CPU!$H$661/30*BQ96</f>
        <v>0</v>
      </c>
      <c r="BT96" s="848"/>
      <c r="BU96" s="848"/>
      <c r="BV96" s="849"/>
      <c r="BW96" s="852"/>
      <c r="BX96" s="845"/>
      <c r="BY96" s="845"/>
      <c r="BZ96" s="845"/>
      <c r="CA96" s="845"/>
      <c r="CB96" s="846"/>
    </row>
    <row r="97" spans="2:80" ht="16.5">
      <c r="B97" s="531"/>
      <c r="C97" s="516"/>
      <c r="D97" s="530"/>
      <c r="E97" s="537" t="s">
        <v>487</v>
      </c>
      <c r="F97" s="537" t="s">
        <v>13</v>
      </c>
      <c r="G97" s="553">
        <f>[1]CPU!H682</f>
        <v>6601.6209707721864</v>
      </c>
      <c r="H97" s="503"/>
      <c r="I97" s="853"/>
      <c r="J97" s="845"/>
      <c r="K97" s="845"/>
      <c r="L97" s="845"/>
      <c r="M97" s="845"/>
      <c r="N97" s="846"/>
      <c r="O97" s="850"/>
      <c r="P97" s="851"/>
      <c r="Q97" s="848"/>
      <c r="R97" s="848"/>
      <c r="S97" s="848"/>
      <c r="T97" s="849"/>
      <c r="U97" s="850"/>
      <c r="V97" s="851"/>
      <c r="W97" s="848"/>
      <c r="X97" s="848"/>
      <c r="Y97" s="848"/>
      <c r="Z97" s="849"/>
      <c r="AA97" s="850"/>
      <c r="AB97" s="851"/>
      <c r="AC97" s="848"/>
      <c r="AD97" s="848"/>
      <c r="AE97" s="848"/>
      <c r="AF97" s="849"/>
      <c r="AG97" s="850" t="e">
        <f>[1]CPU!H676+#REF!*SUM(Cron_fis!AG91:AH92,Cron_fis!AA91:AB92,Cron_fis!AA86:AB87,Cron_fis!U86:V87,Cron_fis!U81:V82,Cron_fis!O81:P82)/([1]CPU!$H$661/30*#REF!)</f>
        <v>#REF!</v>
      </c>
      <c r="AH97" s="851"/>
      <c r="AI97" s="848" t="e">
        <f>[1]CPU!$H$670*[1]CPU!$H$661/30*AG97</f>
        <v>#REF!</v>
      </c>
      <c r="AJ97" s="848"/>
      <c r="AK97" s="848"/>
      <c r="AL97" s="849"/>
      <c r="AM97" s="850"/>
      <c r="AN97" s="851"/>
      <c r="AO97" s="848"/>
      <c r="AP97" s="848"/>
      <c r="AQ97" s="848"/>
      <c r="AR97" s="849"/>
      <c r="AS97" s="850"/>
      <c r="AT97" s="851"/>
      <c r="AU97" s="848"/>
      <c r="AV97" s="848"/>
      <c r="AW97" s="848"/>
      <c r="AX97" s="849"/>
      <c r="AY97" s="850"/>
      <c r="AZ97" s="851"/>
      <c r="BA97" s="848"/>
      <c r="BB97" s="848"/>
      <c r="BC97" s="848"/>
      <c r="BD97" s="849"/>
      <c r="BE97" s="850"/>
      <c r="BF97" s="851"/>
      <c r="BG97" s="848"/>
      <c r="BH97" s="848"/>
      <c r="BI97" s="848"/>
      <c r="BJ97" s="849"/>
      <c r="BK97" s="850" t="e">
        <f>#REF!*SUM(Cron_fis!AM101:AN102,Cron_fis!AG101:AH102,Cron_fis!BK111:BL112,Cron_fis!BK106:BL107,Cron_fis!BK101:BL102,AS101:AT102,AY101:AZ102,BE101:BF102,BE106:BF107,BE97)/([1]CPU!$H$661/30*#REF!)</f>
        <v>#REF!</v>
      </c>
      <c r="BL97" s="851"/>
      <c r="BM97" s="848" t="e">
        <f>[1]CPU!$H$670*[1]CPU!$H$661/30*BK97</f>
        <v>#REF!</v>
      </c>
      <c r="BN97" s="848"/>
      <c r="BO97" s="848"/>
      <c r="BP97" s="849"/>
      <c r="BQ97" s="850" t="e">
        <f>SUM([1]CPU!H680,[1]CPU!H676)-SUM(BK97,AG97)</f>
        <v>#REF!</v>
      </c>
      <c r="BR97" s="851"/>
      <c r="BS97" s="848" t="e">
        <f>[1]CPU!$H$670*[1]CPU!$H$661/30*BQ97</f>
        <v>#REF!</v>
      </c>
      <c r="BT97" s="848"/>
      <c r="BU97" s="848"/>
      <c r="BV97" s="849"/>
      <c r="BW97" s="852"/>
      <c r="BX97" s="845"/>
      <c r="BY97" s="845"/>
      <c r="BZ97" s="845"/>
      <c r="CA97" s="845"/>
      <c r="CB97" s="846"/>
    </row>
    <row r="98" spans="2:80" ht="16.5">
      <c r="B98" s="529"/>
      <c r="C98" s="536"/>
      <c r="D98" s="530"/>
      <c r="E98" s="530"/>
      <c r="F98" s="537" t="s">
        <v>171</v>
      </c>
      <c r="G98" s="538">
        <f>[1]CPU!H2172</f>
        <v>8672209.0499999989</v>
      </c>
      <c r="H98" s="523"/>
      <c r="I98" s="844"/>
      <c r="J98" s="845"/>
      <c r="K98" s="845"/>
      <c r="L98" s="845"/>
      <c r="M98" s="845"/>
      <c r="N98" s="846"/>
      <c r="O98" s="844"/>
      <c r="P98" s="845"/>
      <c r="Q98" s="845"/>
      <c r="R98" s="845"/>
      <c r="S98" s="845"/>
      <c r="T98" s="846"/>
      <c r="U98" s="844"/>
      <c r="V98" s="845"/>
      <c r="W98" s="845"/>
      <c r="X98" s="845"/>
      <c r="Y98" s="845"/>
      <c r="Z98" s="846"/>
      <c r="AA98" s="844"/>
      <c r="AB98" s="845"/>
      <c r="AC98" s="845"/>
      <c r="AD98" s="845"/>
      <c r="AE98" s="845"/>
      <c r="AF98" s="846"/>
      <c r="AG98" s="844" t="e">
        <f>SUM(AI96:AL97)*[1]CPU!$H$2167</f>
        <v>#REF!</v>
      </c>
      <c r="AH98" s="845"/>
      <c r="AI98" s="845"/>
      <c r="AJ98" s="845"/>
      <c r="AK98" s="845"/>
      <c r="AL98" s="846"/>
      <c r="AM98" s="844"/>
      <c r="AN98" s="845"/>
      <c r="AO98" s="845"/>
      <c r="AP98" s="845"/>
      <c r="AQ98" s="845"/>
      <c r="AR98" s="846"/>
      <c r="AS98" s="844"/>
      <c r="AT98" s="845"/>
      <c r="AU98" s="845"/>
      <c r="AV98" s="845"/>
      <c r="AW98" s="845"/>
      <c r="AX98" s="846"/>
      <c r="AY98" s="844"/>
      <c r="AZ98" s="845"/>
      <c r="BA98" s="845"/>
      <c r="BB98" s="845"/>
      <c r="BC98" s="845"/>
      <c r="BD98" s="846"/>
      <c r="BE98" s="844"/>
      <c r="BF98" s="845"/>
      <c r="BG98" s="845"/>
      <c r="BH98" s="845"/>
      <c r="BI98" s="845"/>
      <c r="BJ98" s="846"/>
      <c r="BK98" s="844" t="e">
        <f>SUM(BM96:BP97)*[1]CPU!$H$2167</f>
        <v>#REF!</v>
      </c>
      <c r="BL98" s="845"/>
      <c r="BM98" s="845"/>
      <c r="BN98" s="845"/>
      <c r="BO98" s="845"/>
      <c r="BP98" s="846"/>
      <c r="BQ98" s="844" t="e">
        <f>SUM(BS96:BV97)*[1]CPU!$H$2167</f>
        <v>#REF!</v>
      </c>
      <c r="BR98" s="845"/>
      <c r="BS98" s="845"/>
      <c r="BT98" s="845"/>
      <c r="BU98" s="845"/>
      <c r="BV98" s="846"/>
      <c r="BW98" s="522"/>
      <c r="BX98" s="523"/>
      <c r="BY98" s="523"/>
      <c r="BZ98" s="523"/>
      <c r="CA98" s="523"/>
      <c r="CB98" s="524"/>
    </row>
    <row r="99" spans="2:80" ht="16.5">
      <c r="B99" s="531"/>
      <c r="C99" s="516"/>
      <c r="D99" s="847"/>
      <c r="E99" s="847"/>
      <c r="F99" s="530"/>
      <c r="G99" s="523"/>
      <c r="H99" s="503"/>
      <c r="I99" s="526"/>
      <c r="J99" s="512"/>
      <c r="K99" s="512"/>
      <c r="L99" s="512"/>
      <c r="M99" s="512"/>
      <c r="N99" s="513"/>
      <c r="O99" s="522"/>
      <c r="P99" s="523"/>
      <c r="Q99" s="523"/>
      <c r="R99" s="523"/>
      <c r="S99" s="523"/>
      <c r="T99" s="524"/>
      <c r="U99" s="522"/>
      <c r="V99" s="523"/>
      <c r="W99" s="523"/>
      <c r="X99" s="523"/>
      <c r="Y99" s="523"/>
      <c r="Z99" s="524"/>
      <c r="AA99" s="522"/>
      <c r="AB99" s="523"/>
      <c r="AC99" s="523"/>
      <c r="AD99" s="523"/>
      <c r="AE99" s="523"/>
      <c r="AF99" s="524"/>
      <c r="AG99" s="522"/>
      <c r="AH99" s="523"/>
      <c r="AI99" s="523"/>
      <c r="AJ99" s="523"/>
      <c r="AK99" s="523"/>
      <c r="AL99" s="524"/>
      <c r="AM99" s="526"/>
      <c r="AN99" s="512"/>
      <c r="AO99" s="512"/>
      <c r="AP99" s="512"/>
      <c r="AQ99" s="512"/>
      <c r="AR99" s="513"/>
      <c r="AS99" s="512"/>
      <c r="AT99" s="512"/>
      <c r="AU99" s="512"/>
      <c r="AV99" s="512"/>
      <c r="AW99" s="512"/>
      <c r="AX99" s="513"/>
      <c r="AY99" s="526"/>
      <c r="AZ99" s="512"/>
      <c r="BA99" s="512"/>
      <c r="BB99" s="512"/>
      <c r="BC99" s="512"/>
      <c r="BD99" s="513"/>
      <c r="BE99" s="526"/>
      <c r="BF99" s="512"/>
      <c r="BG99" s="512"/>
      <c r="BH99" s="512"/>
      <c r="BI99" s="512"/>
      <c r="BJ99" s="513"/>
      <c r="BK99" s="526"/>
      <c r="BL99" s="512"/>
      <c r="BM99" s="512"/>
      <c r="BN99" s="512"/>
      <c r="BO99" s="512"/>
      <c r="BP99" s="513"/>
      <c r="BQ99" s="512"/>
      <c r="BR99" s="512"/>
      <c r="BS99" s="512"/>
      <c r="BT99" s="512"/>
      <c r="BU99" s="512"/>
      <c r="BV99" s="513"/>
      <c r="BW99" s="526"/>
      <c r="BX99" s="512"/>
      <c r="BY99" s="512"/>
      <c r="BZ99" s="512"/>
      <c r="CA99" s="512"/>
      <c r="CB99" s="513"/>
    </row>
    <row r="100" spans="2:80" ht="16.5">
      <c r="B100" s="529"/>
      <c r="C100" s="536"/>
      <c r="D100" s="651" t="str">
        <f>[1]CPU!A688</f>
        <v>CHARLIE 1</v>
      </c>
      <c r="E100" s="530"/>
      <c r="F100" s="532" t="s">
        <v>100</v>
      </c>
      <c r="G100" s="631">
        <f>[1]CPU!H784</f>
        <v>106.20753105265473</v>
      </c>
      <c r="H100" s="523"/>
      <c r="I100" s="522"/>
      <c r="J100" s="523"/>
      <c r="K100" s="523"/>
      <c r="L100" s="523"/>
      <c r="M100" s="523"/>
      <c r="N100" s="524"/>
      <c r="O100" s="526"/>
      <c r="P100" s="512"/>
      <c r="Q100" s="512"/>
      <c r="R100" s="512"/>
      <c r="S100" s="512"/>
      <c r="T100" s="513"/>
      <c r="U100" s="526"/>
      <c r="V100" s="512"/>
      <c r="W100" s="512"/>
      <c r="X100" s="512"/>
      <c r="Y100" s="512"/>
      <c r="Z100" s="513"/>
      <c r="AA100" s="526"/>
      <c r="AB100" s="512"/>
      <c r="AC100" s="512"/>
      <c r="AD100" s="512"/>
      <c r="AE100" s="512"/>
      <c r="AF100" s="513"/>
      <c r="AG100" s="526"/>
      <c r="AH100" s="512"/>
      <c r="AI100" s="512"/>
      <c r="AJ100" s="539"/>
      <c r="AK100" s="539"/>
      <c r="AL100" s="540"/>
      <c r="AM100" s="541"/>
      <c r="AN100" s="539"/>
      <c r="AO100" s="539"/>
      <c r="AP100" s="539"/>
      <c r="AQ100" s="539"/>
      <c r="AR100" s="540"/>
      <c r="AS100" s="539"/>
      <c r="AT100" s="539"/>
      <c r="AU100" s="539"/>
      <c r="AV100" s="539"/>
      <c r="AW100" s="539"/>
      <c r="AX100" s="539"/>
      <c r="AY100" s="541"/>
      <c r="AZ100" s="539"/>
      <c r="BA100" s="539"/>
      <c r="BB100" s="539"/>
      <c r="BC100" s="539"/>
      <c r="BD100" s="540"/>
      <c r="BE100" s="523"/>
      <c r="BF100" s="523"/>
      <c r="BG100" s="523"/>
      <c r="BH100" s="523"/>
      <c r="BI100" s="523"/>
      <c r="BJ100" s="524"/>
      <c r="BK100" s="522"/>
      <c r="BL100" s="523"/>
      <c r="BM100" s="523"/>
      <c r="BN100" s="523"/>
      <c r="BO100" s="523"/>
      <c r="BP100" s="524"/>
      <c r="BQ100" s="523"/>
      <c r="BR100" s="523"/>
      <c r="BS100" s="523"/>
      <c r="BT100" s="523"/>
      <c r="BU100" s="523"/>
      <c r="BV100" s="524"/>
      <c r="BW100" s="522"/>
      <c r="BX100" s="523"/>
      <c r="BY100" s="523"/>
      <c r="BZ100" s="523"/>
      <c r="CA100" s="523"/>
      <c r="CB100" s="524"/>
    </row>
    <row r="101" spans="2:80" ht="16.5">
      <c r="B101" s="529"/>
      <c r="C101" s="530"/>
      <c r="D101" s="530"/>
      <c r="E101" s="537" t="s">
        <v>485</v>
      </c>
      <c r="F101" s="537" t="s">
        <v>13</v>
      </c>
      <c r="G101" s="553">
        <f>[1]CPU!H768</f>
        <v>4632506.4000000004</v>
      </c>
      <c r="H101" s="523"/>
      <c r="I101" s="853"/>
      <c r="J101" s="845"/>
      <c r="K101" s="845"/>
      <c r="L101" s="845"/>
      <c r="M101" s="845"/>
      <c r="N101" s="846"/>
      <c r="O101" s="850"/>
      <c r="P101" s="851"/>
      <c r="Q101" s="848"/>
      <c r="R101" s="848"/>
      <c r="S101" s="848"/>
      <c r="T101" s="849"/>
      <c r="U101" s="850"/>
      <c r="V101" s="851"/>
      <c r="W101" s="848"/>
      <c r="X101" s="848"/>
      <c r="Y101" s="848"/>
      <c r="Z101" s="849"/>
      <c r="AA101" s="850"/>
      <c r="AB101" s="851"/>
      <c r="AC101" s="848"/>
      <c r="AD101" s="848"/>
      <c r="AE101" s="848"/>
      <c r="AF101" s="849"/>
      <c r="AG101" s="850" t="e">
        <f>30-SUM(AG91:AH92,AG96:AH97)</f>
        <v>#REF!</v>
      </c>
      <c r="AH101" s="851"/>
      <c r="AI101" s="848" t="e">
        <f>[1]CPU!$H$761*[1]CPU!$H$770/30*AG101</f>
        <v>#REF!</v>
      </c>
      <c r="AJ101" s="848"/>
      <c r="AK101" s="848"/>
      <c r="AL101" s="849"/>
      <c r="AM101" s="850">
        <v>30</v>
      </c>
      <c r="AN101" s="851"/>
      <c r="AO101" s="848">
        <f>[1]CPU!$H$761*[1]CPU!$H$770/30*AM101</f>
        <v>1344946.8969567462</v>
      </c>
      <c r="AP101" s="848"/>
      <c r="AQ101" s="848"/>
      <c r="AR101" s="849"/>
      <c r="AS101" s="850">
        <v>30</v>
      </c>
      <c r="AT101" s="851"/>
      <c r="AU101" s="848">
        <f>[1]CPU!$H$761*[1]CPU!$H$770/30*AS101</f>
        <v>1344946.8969567462</v>
      </c>
      <c r="AV101" s="848"/>
      <c r="AW101" s="848"/>
      <c r="AX101" s="849"/>
      <c r="AY101" s="857" t="e">
        <f>[1]CPU!H772-SUM(AG101,AM101,AS101)</f>
        <v>#REF!</v>
      </c>
      <c r="AZ101" s="858"/>
      <c r="BA101" s="859" t="e">
        <f>[1]CPU!$H$761*[1]CPU!$H$770/30*AY101</f>
        <v>#REF!</v>
      </c>
      <c r="BB101" s="859"/>
      <c r="BC101" s="859"/>
      <c r="BD101" s="860"/>
      <c r="BE101" s="850"/>
      <c r="BF101" s="851"/>
      <c r="BG101" s="848">
        <f>[1]CPU!$H$761*[1]CPU!$H$770/30*BE101</f>
        <v>0</v>
      </c>
      <c r="BH101" s="848"/>
      <c r="BI101" s="848"/>
      <c r="BJ101" s="849"/>
      <c r="BK101" s="850"/>
      <c r="BL101" s="851"/>
      <c r="BM101" s="848">
        <f>[1]CPU!$H$761*[1]CPU!$H$770/30*BK101</f>
        <v>0</v>
      </c>
      <c r="BN101" s="848"/>
      <c r="BO101" s="848"/>
      <c r="BP101" s="849"/>
      <c r="BQ101" s="850"/>
      <c r="BR101" s="851"/>
      <c r="BS101" s="848">
        <f>[1]CPU!$H$761*[1]CPU!$H$770/30*BQ101</f>
        <v>0</v>
      </c>
      <c r="BT101" s="848"/>
      <c r="BU101" s="848"/>
      <c r="BV101" s="849"/>
      <c r="BW101" s="522"/>
      <c r="BX101" s="523"/>
      <c r="BY101" s="523"/>
      <c r="BZ101" s="523"/>
      <c r="CA101" s="523"/>
      <c r="CB101" s="524"/>
    </row>
    <row r="102" spans="2:80" ht="16.5">
      <c r="B102" s="531"/>
      <c r="C102" s="516"/>
      <c r="D102" s="530"/>
      <c r="E102" s="537" t="s">
        <v>487</v>
      </c>
      <c r="F102" s="537" t="s">
        <v>13</v>
      </c>
      <c r="G102" s="553">
        <f>[1]CPU!H782</f>
        <v>128943.24409017485</v>
      </c>
      <c r="H102" s="503"/>
      <c r="I102" s="853"/>
      <c r="J102" s="845"/>
      <c r="K102" s="845"/>
      <c r="L102" s="845"/>
      <c r="M102" s="845"/>
      <c r="N102" s="846"/>
      <c r="O102" s="850"/>
      <c r="P102" s="851"/>
      <c r="Q102" s="848"/>
      <c r="R102" s="848"/>
      <c r="S102" s="848"/>
      <c r="T102" s="849"/>
      <c r="U102" s="850"/>
      <c r="V102" s="851"/>
      <c r="W102" s="848"/>
      <c r="X102" s="848"/>
      <c r="Y102" s="848"/>
      <c r="Z102" s="849"/>
      <c r="AA102" s="850"/>
      <c r="AB102" s="851"/>
      <c r="AC102" s="848"/>
      <c r="AD102" s="848"/>
      <c r="AE102" s="848"/>
      <c r="AF102" s="849"/>
      <c r="AG102" s="850"/>
      <c r="AH102" s="851"/>
      <c r="AI102" s="848">
        <f>[1]CPU!$H$761*[1]CPU!$H$770/30*AG102</f>
        <v>0</v>
      </c>
      <c r="AJ102" s="848"/>
      <c r="AK102" s="848"/>
      <c r="AL102" s="849"/>
      <c r="AM102" s="850"/>
      <c r="AN102" s="851"/>
      <c r="AO102" s="848">
        <f>[1]CPU!$H$761*[1]CPU!$H$770/30*AM102</f>
        <v>0</v>
      </c>
      <c r="AP102" s="848"/>
      <c r="AQ102" s="848"/>
      <c r="AR102" s="849"/>
      <c r="AS102" s="850"/>
      <c r="AT102" s="851"/>
      <c r="AU102" s="848">
        <f>[1]CPU!$H$761*[1]CPU!$H$770/30*AS102</f>
        <v>0</v>
      </c>
      <c r="AV102" s="848"/>
      <c r="AW102" s="848"/>
      <c r="AX102" s="849"/>
      <c r="AY102" s="850" t="e">
        <f>30-AY101</f>
        <v>#REF!</v>
      </c>
      <c r="AZ102" s="851"/>
      <c r="BA102" s="848" t="e">
        <f>[1]CPU!$H$761*[1]CPU!$H$770/30*AY102</f>
        <v>#REF!</v>
      </c>
      <c r="BB102" s="848"/>
      <c r="BC102" s="848"/>
      <c r="BD102" s="849"/>
      <c r="BE102" s="850" t="e">
        <f>[1]CPU!H776+#REF!*SUM(Cron_fis!AG96:AH97,Cron_fis!AG91:AH92,Cron_fis!AA91:AB92,Cron_fis!AA86:AB87,Cron_fis!U86:V87,Cron_fis!U81:V82,Cron_fis!O81:P82)/([1]CPU!$H$761/30*#REF!)-AY102</f>
        <v>#REF!</v>
      </c>
      <c r="BF102" s="851"/>
      <c r="BG102" s="848" t="e">
        <f>[1]CPU!$H$761*[1]CPU!$H$770/30*BE102</f>
        <v>#REF!</v>
      </c>
      <c r="BH102" s="848"/>
      <c r="BI102" s="848"/>
      <c r="BJ102" s="849"/>
      <c r="BK102" s="850" t="e">
        <f>#REF!*SUM(BE106:BF107,BK106:BL107,BK111:BL112,BW102)/([1]CPU!$H$761/30*#REF!)</f>
        <v>#REF!</v>
      </c>
      <c r="BL102" s="851"/>
      <c r="BM102" s="848" t="e">
        <f>[1]CPU!$H$761*[1]CPU!$H$770/30*BK102</f>
        <v>#REF!</v>
      </c>
      <c r="BN102" s="848"/>
      <c r="BO102" s="848"/>
      <c r="BP102" s="849"/>
      <c r="BQ102" s="850" t="e">
        <f>SUM([1]CPU!H780,[1]CPU!H776)-SUM(BK102,AY102,BE102)</f>
        <v>#REF!</v>
      </c>
      <c r="BR102" s="851"/>
      <c r="BS102" s="848" t="e">
        <f>[1]CPU!$H$761*[1]CPU!$H$770/30*BQ102</f>
        <v>#REF!</v>
      </c>
      <c r="BT102" s="848"/>
      <c r="BU102" s="848"/>
      <c r="BV102" s="849"/>
      <c r="BW102" s="854">
        <v>0.39672000041394107</v>
      </c>
      <c r="BX102" s="855"/>
      <c r="BY102" s="855"/>
      <c r="BZ102" s="855"/>
      <c r="CA102" s="855"/>
      <c r="CB102" s="856"/>
    </row>
    <row r="103" spans="2:80" ht="16.5">
      <c r="B103" s="529"/>
      <c r="C103" s="536"/>
      <c r="D103" s="530"/>
      <c r="E103" s="530"/>
      <c r="F103" s="537" t="s">
        <v>171</v>
      </c>
      <c r="G103" s="538">
        <f>SUM([1]CPU!H2180)</f>
        <v>106370785.05</v>
      </c>
      <c r="H103" s="523"/>
      <c r="I103" s="844"/>
      <c r="J103" s="845"/>
      <c r="K103" s="845"/>
      <c r="L103" s="845"/>
      <c r="M103" s="845"/>
      <c r="N103" s="846"/>
      <c r="O103" s="844"/>
      <c r="P103" s="845"/>
      <c r="Q103" s="845"/>
      <c r="R103" s="845"/>
      <c r="S103" s="845"/>
      <c r="T103" s="846"/>
      <c r="U103" s="844"/>
      <c r="V103" s="845"/>
      <c r="W103" s="845"/>
      <c r="X103" s="845"/>
      <c r="Y103" s="845"/>
      <c r="Z103" s="846"/>
      <c r="AA103" s="844"/>
      <c r="AB103" s="845"/>
      <c r="AC103" s="845"/>
      <c r="AD103" s="845"/>
      <c r="AE103" s="845"/>
      <c r="AF103" s="846"/>
      <c r="AG103" s="844" t="e">
        <f>SUM(AI101:AL102)*[1]CPU!$H$2175</f>
        <v>#REF!</v>
      </c>
      <c r="AH103" s="845"/>
      <c r="AI103" s="845"/>
      <c r="AJ103" s="845"/>
      <c r="AK103" s="845"/>
      <c r="AL103" s="846"/>
      <c r="AM103" s="844">
        <f>SUM(AO101:AR102)*[1]CPU!$H$2175</f>
        <v>30046113.678013712</v>
      </c>
      <c r="AN103" s="845"/>
      <c r="AO103" s="845"/>
      <c r="AP103" s="845"/>
      <c r="AQ103" s="845"/>
      <c r="AR103" s="846"/>
      <c r="AS103" s="844">
        <f>SUM(AU101:AX102)*[1]CPU!$H$2175</f>
        <v>30046113.678013712</v>
      </c>
      <c r="AT103" s="845"/>
      <c r="AU103" s="845"/>
      <c r="AV103" s="845"/>
      <c r="AW103" s="845"/>
      <c r="AX103" s="846"/>
      <c r="AY103" s="844" t="e">
        <f>SUM(BA101:BD102)*[1]CPU!$H$2175</f>
        <v>#REF!</v>
      </c>
      <c r="AZ103" s="845"/>
      <c r="BA103" s="845"/>
      <c r="BB103" s="845"/>
      <c r="BC103" s="845"/>
      <c r="BD103" s="846"/>
      <c r="BE103" s="844" t="e">
        <f>SUM(BG101:BJ102)*[1]CPU!$H$2175</f>
        <v>#REF!</v>
      </c>
      <c r="BF103" s="845"/>
      <c r="BG103" s="845"/>
      <c r="BH103" s="845"/>
      <c r="BI103" s="845"/>
      <c r="BJ103" s="846"/>
      <c r="BK103" s="844" t="e">
        <f>SUM(BM101:BP102)*[1]CPU!$H$2175</f>
        <v>#REF!</v>
      </c>
      <c r="BL103" s="845"/>
      <c r="BM103" s="845"/>
      <c r="BN103" s="845"/>
      <c r="BO103" s="845"/>
      <c r="BP103" s="846"/>
      <c r="BQ103" s="844" t="e">
        <f>SUM(BS101:BV102)*[1]CPU!$H$2175</f>
        <v>#REF!</v>
      </c>
      <c r="BR103" s="845"/>
      <c r="BS103" s="845"/>
      <c r="BT103" s="845"/>
      <c r="BU103" s="845"/>
      <c r="BV103" s="846"/>
      <c r="BW103" s="522"/>
      <c r="BX103" s="523"/>
      <c r="BY103" s="523"/>
      <c r="BZ103" s="523"/>
      <c r="CA103" s="523"/>
      <c r="CB103" s="524"/>
    </row>
    <row r="104" spans="2:80" ht="16.5">
      <c r="B104" s="531"/>
      <c r="C104" s="516"/>
      <c r="D104" s="847"/>
      <c r="E104" s="847"/>
      <c r="F104" s="530"/>
      <c r="G104" s="523"/>
      <c r="H104" s="503"/>
      <c r="I104" s="526"/>
      <c r="J104" s="512"/>
      <c r="K104" s="512"/>
      <c r="L104" s="512"/>
      <c r="M104" s="512"/>
      <c r="N104" s="513"/>
      <c r="O104" s="522"/>
      <c r="P104" s="523"/>
      <c r="Q104" s="523"/>
      <c r="R104" s="523"/>
      <c r="S104" s="523"/>
      <c r="T104" s="524"/>
      <c r="U104" s="522"/>
      <c r="V104" s="523"/>
      <c r="W104" s="523"/>
      <c r="X104" s="523"/>
      <c r="Y104" s="523"/>
      <c r="Z104" s="524"/>
      <c r="AA104" s="522"/>
      <c r="AB104" s="523"/>
      <c r="AC104" s="523"/>
      <c r="AD104" s="523"/>
      <c r="AE104" s="523"/>
      <c r="AF104" s="524"/>
      <c r="AG104" s="522"/>
      <c r="AH104" s="523"/>
      <c r="AI104" s="523"/>
      <c r="AJ104" s="523"/>
      <c r="AK104" s="523"/>
      <c r="AL104" s="524"/>
      <c r="AM104" s="526"/>
      <c r="AN104" s="512"/>
      <c r="AO104" s="512"/>
      <c r="AP104" s="512"/>
      <c r="AQ104" s="512"/>
      <c r="AR104" s="513"/>
      <c r="AS104" s="512"/>
      <c r="AT104" s="512"/>
      <c r="AU104" s="512"/>
      <c r="AV104" s="512"/>
      <c r="AW104" s="512"/>
      <c r="AX104" s="513"/>
      <c r="AY104" s="526"/>
      <c r="AZ104" s="512"/>
      <c r="BA104" s="512"/>
      <c r="BB104" s="512"/>
      <c r="BC104" s="512"/>
      <c r="BD104" s="513"/>
      <c r="BE104" s="526"/>
      <c r="BF104" s="512"/>
      <c r="BG104" s="512"/>
      <c r="BH104" s="512"/>
      <c r="BI104" s="512"/>
      <c r="BJ104" s="513"/>
      <c r="BK104" s="526"/>
      <c r="BL104" s="512"/>
      <c r="BM104" s="512"/>
      <c r="BN104" s="512"/>
      <c r="BO104" s="512"/>
      <c r="BP104" s="513"/>
      <c r="BQ104" s="512"/>
      <c r="BR104" s="512"/>
      <c r="BS104" s="512"/>
      <c r="BT104" s="512"/>
      <c r="BU104" s="512"/>
      <c r="BV104" s="513"/>
      <c r="BW104" s="526"/>
      <c r="BX104" s="512"/>
      <c r="BY104" s="512"/>
      <c r="BZ104" s="512"/>
      <c r="CA104" s="512"/>
      <c r="CB104" s="513"/>
    </row>
    <row r="105" spans="2:80" ht="16.5">
      <c r="B105" s="529"/>
      <c r="C105" s="536"/>
      <c r="D105" s="630" t="str">
        <f>[1]CPU!A788</f>
        <v>CHARLIE 3 EXT. A</v>
      </c>
      <c r="E105" s="530"/>
      <c r="F105" s="532" t="s">
        <v>100</v>
      </c>
      <c r="G105" s="631">
        <f>[1]CPU!H884</f>
        <v>31.065963933514354</v>
      </c>
      <c r="H105" s="523"/>
      <c r="I105" s="522"/>
      <c r="J105" s="523"/>
      <c r="K105" s="523"/>
      <c r="L105" s="523"/>
      <c r="M105" s="523"/>
      <c r="N105" s="524"/>
      <c r="O105" s="526"/>
      <c r="P105" s="512"/>
      <c r="Q105" s="512"/>
      <c r="R105" s="512"/>
      <c r="S105" s="512"/>
      <c r="T105" s="513"/>
      <c r="U105" s="526"/>
      <c r="V105" s="512"/>
      <c r="W105" s="512"/>
      <c r="X105" s="512"/>
      <c r="Y105" s="512"/>
      <c r="Z105" s="513"/>
      <c r="AA105" s="526"/>
      <c r="AB105" s="512"/>
      <c r="AC105" s="512"/>
      <c r="AD105" s="512"/>
      <c r="AE105" s="512"/>
      <c r="AF105" s="513"/>
      <c r="AG105" s="526"/>
      <c r="AH105" s="512"/>
      <c r="AI105" s="512"/>
      <c r="AJ105" s="512"/>
      <c r="AK105" s="512"/>
      <c r="AL105" s="513"/>
      <c r="AM105" s="522"/>
      <c r="AN105" s="523"/>
      <c r="AO105" s="523"/>
      <c r="AP105" s="523"/>
      <c r="AQ105" s="523"/>
      <c r="AR105" s="524"/>
      <c r="AS105" s="523"/>
      <c r="AT105" s="523"/>
      <c r="AU105" s="523"/>
      <c r="AV105" s="523"/>
      <c r="AW105" s="523"/>
      <c r="AX105" s="524"/>
      <c r="AY105" s="522"/>
      <c r="AZ105" s="523"/>
      <c r="BA105" s="523"/>
      <c r="BB105" s="523"/>
      <c r="BC105" s="523"/>
      <c r="BD105" s="524"/>
      <c r="BE105" s="541"/>
      <c r="BF105" s="539"/>
      <c r="BG105" s="539"/>
      <c r="BH105" s="539"/>
      <c r="BI105" s="539"/>
      <c r="BJ105" s="540"/>
      <c r="BK105" s="522"/>
      <c r="BL105" s="523"/>
      <c r="BM105" s="523"/>
      <c r="BN105" s="523"/>
      <c r="BO105" s="523"/>
      <c r="BP105" s="524"/>
      <c r="BQ105" s="523"/>
      <c r="BR105" s="523"/>
      <c r="BS105" s="523"/>
      <c r="BT105" s="523"/>
      <c r="BU105" s="523"/>
      <c r="BV105" s="524"/>
      <c r="BW105" s="522"/>
      <c r="BX105" s="523"/>
      <c r="BY105" s="523"/>
      <c r="BZ105" s="523"/>
      <c r="CA105" s="523"/>
      <c r="CB105" s="524"/>
    </row>
    <row r="106" spans="2:80" ht="16.5">
      <c r="B106" s="529"/>
      <c r="C106" s="530"/>
      <c r="D106" s="530"/>
      <c r="E106" s="537" t="s">
        <v>485</v>
      </c>
      <c r="F106" s="537" t="s">
        <v>13</v>
      </c>
      <c r="G106" s="553">
        <f>[1]CPU!H868</f>
        <v>1297578.6299999999</v>
      </c>
      <c r="H106" s="523"/>
      <c r="I106" s="853"/>
      <c r="J106" s="845"/>
      <c r="K106" s="845"/>
      <c r="L106" s="845"/>
      <c r="M106" s="845"/>
      <c r="N106" s="846"/>
      <c r="O106" s="850"/>
      <c r="P106" s="851"/>
      <c r="Q106" s="848"/>
      <c r="R106" s="848"/>
      <c r="S106" s="848"/>
      <c r="T106" s="849"/>
      <c r="U106" s="850"/>
      <c r="V106" s="851"/>
      <c r="W106" s="848"/>
      <c r="X106" s="848"/>
      <c r="Y106" s="848"/>
      <c r="Z106" s="849"/>
      <c r="AA106" s="850"/>
      <c r="AB106" s="851"/>
      <c r="AC106" s="848"/>
      <c r="AD106" s="848"/>
      <c r="AE106" s="848"/>
      <c r="AF106" s="849"/>
      <c r="AG106" s="850"/>
      <c r="AH106" s="851"/>
      <c r="AI106" s="848"/>
      <c r="AJ106" s="848"/>
      <c r="AK106" s="848"/>
      <c r="AL106" s="849"/>
      <c r="AM106" s="850"/>
      <c r="AN106" s="851"/>
      <c r="AO106" s="848"/>
      <c r="AP106" s="848"/>
      <c r="AQ106" s="848"/>
      <c r="AR106" s="849"/>
      <c r="AS106" s="850"/>
      <c r="AT106" s="851"/>
      <c r="AU106" s="848"/>
      <c r="AV106" s="848"/>
      <c r="AW106" s="848"/>
      <c r="AX106" s="849"/>
      <c r="AY106" s="850"/>
      <c r="AZ106" s="851"/>
      <c r="BA106" s="848"/>
      <c r="BB106" s="848"/>
      <c r="BC106" s="848"/>
      <c r="BD106" s="849"/>
      <c r="BE106" s="850" t="e">
        <f>30-BE102</f>
        <v>#REF!</v>
      </c>
      <c r="BF106" s="851"/>
      <c r="BG106" s="848" t="e">
        <f>[1]CPU!$H$861*[1]CPU!$H$870/30*BE106</f>
        <v>#REF!</v>
      </c>
      <c r="BH106" s="848"/>
      <c r="BI106" s="848"/>
      <c r="BJ106" s="849"/>
      <c r="BK106" s="850" t="e">
        <f>[1]CPU!H872-BE106</f>
        <v>#REF!</v>
      </c>
      <c r="BL106" s="851"/>
      <c r="BM106" s="848" t="e">
        <f>[1]CPU!$H$861*[1]CPU!$H$870/30*BK106</f>
        <v>#REF!</v>
      </c>
      <c r="BN106" s="848"/>
      <c r="BO106" s="848"/>
      <c r="BP106" s="849"/>
      <c r="BQ106" s="850"/>
      <c r="BR106" s="851"/>
      <c r="BS106" s="848">
        <f>[1]CPU!$H$861*[1]CPU!$H$870/30*BQ106</f>
        <v>0</v>
      </c>
      <c r="BT106" s="848"/>
      <c r="BU106" s="848"/>
      <c r="BV106" s="849"/>
      <c r="BW106" s="852"/>
      <c r="BX106" s="845"/>
      <c r="BY106" s="845"/>
      <c r="BZ106" s="845"/>
      <c r="CA106" s="845"/>
      <c r="CB106" s="846"/>
    </row>
    <row r="107" spans="2:80" ht="16.5">
      <c r="B107" s="531"/>
      <c r="C107" s="516"/>
      <c r="D107" s="530"/>
      <c r="E107" s="537" t="s">
        <v>487</v>
      </c>
      <c r="F107" s="537" t="s">
        <v>13</v>
      </c>
      <c r="G107" s="553">
        <f>[1]CPU!H882</f>
        <v>42996.379417461096</v>
      </c>
      <c r="H107" s="503"/>
      <c r="I107" s="853"/>
      <c r="J107" s="845"/>
      <c r="K107" s="845"/>
      <c r="L107" s="845"/>
      <c r="M107" s="845"/>
      <c r="N107" s="846"/>
      <c r="O107" s="850"/>
      <c r="P107" s="851"/>
      <c r="Q107" s="848"/>
      <c r="R107" s="848"/>
      <c r="S107" s="848"/>
      <c r="T107" s="849"/>
      <c r="U107" s="850"/>
      <c r="V107" s="851"/>
      <c r="W107" s="848"/>
      <c r="X107" s="848"/>
      <c r="Y107" s="848"/>
      <c r="Z107" s="849"/>
      <c r="AA107" s="850"/>
      <c r="AB107" s="851"/>
      <c r="AC107" s="848"/>
      <c r="AD107" s="848"/>
      <c r="AE107" s="848"/>
      <c r="AF107" s="849"/>
      <c r="AG107" s="850"/>
      <c r="AH107" s="851"/>
      <c r="AI107" s="848"/>
      <c r="AJ107" s="848"/>
      <c r="AK107" s="848"/>
      <c r="AL107" s="849"/>
      <c r="AM107" s="850"/>
      <c r="AN107" s="851"/>
      <c r="AO107" s="848"/>
      <c r="AP107" s="848"/>
      <c r="AQ107" s="848"/>
      <c r="AR107" s="849"/>
      <c r="AS107" s="850"/>
      <c r="AT107" s="851"/>
      <c r="AU107" s="848"/>
      <c r="AV107" s="848"/>
      <c r="AW107" s="848"/>
      <c r="AX107" s="849"/>
      <c r="AY107" s="850"/>
      <c r="AZ107" s="851"/>
      <c r="BA107" s="848"/>
      <c r="BB107" s="848"/>
      <c r="BC107" s="848"/>
      <c r="BD107" s="849"/>
      <c r="BE107" s="850"/>
      <c r="BF107" s="851"/>
      <c r="BG107" s="848">
        <f>[1]CPU!$H$861*[1]CPU!$H$870/30*BE107</f>
        <v>0</v>
      </c>
      <c r="BH107" s="848"/>
      <c r="BI107" s="848"/>
      <c r="BJ107" s="849"/>
      <c r="BK107" s="850" t="e">
        <f>[1]CPU!H876+(#REF!*SUM(Cron_fis!BE101:BF102,Cron_fis!AY101:AZ102,Cron_fis!AS101:AT102,Cron_fis!AM101:AN102,Cron_fis!AG101:AH102,Cron_fis!AG96:AH97,Cron_fis!AG91:AH92,Cron_fis!AA91:AB92,Cron_fis!AA86:AB87,Cron_fis!U86,Cron_fis!U87,Cron_fis!U81:V82,Cron_fis!O81:P82)/([1]CPU!$H$861/30*#REF!))</f>
        <v>#REF!</v>
      </c>
      <c r="BL107" s="851"/>
      <c r="BM107" s="848" t="e">
        <f>[1]CPU!$H$861*[1]CPU!$H$870/30*BK107</f>
        <v>#REF!</v>
      </c>
      <c r="BN107" s="848"/>
      <c r="BO107" s="848"/>
      <c r="BP107" s="849"/>
      <c r="BQ107" s="850" t="e">
        <f>SUM([1]CPU!H880,[1]CPU!H876)-SUM(BK107)</f>
        <v>#REF!</v>
      </c>
      <c r="BR107" s="851"/>
      <c r="BS107" s="848" t="e">
        <f>[1]CPU!$H$861*[1]CPU!$H$870/30*BQ107</f>
        <v>#REF!</v>
      </c>
      <c r="BT107" s="848"/>
      <c r="BU107" s="848"/>
      <c r="BV107" s="849"/>
      <c r="BW107" s="852"/>
      <c r="BX107" s="845"/>
      <c r="BY107" s="845"/>
      <c r="BZ107" s="845"/>
      <c r="CA107" s="845"/>
      <c r="CB107" s="846"/>
    </row>
    <row r="108" spans="2:80" ht="16.5">
      <c r="B108" s="529"/>
      <c r="C108" s="536"/>
      <c r="D108" s="530"/>
      <c r="E108" s="530"/>
      <c r="F108" s="537" t="s">
        <v>171</v>
      </c>
      <c r="G108" s="538">
        <f>SUM([1]CPU!H2196)</f>
        <v>31114745.969999999</v>
      </c>
      <c r="H108" s="523"/>
      <c r="I108" s="844"/>
      <c r="J108" s="845"/>
      <c r="K108" s="845"/>
      <c r="L108" s="845"/>
      <c r="M108" s="845"/>
      <c r="N108" s="846"/>
      <c r="O108" s="844"/>
      <c r="P108" s="845"/>
      <c r="Q108" s="845"/>
      <c r="R108" s="845"/>
      <c r="S108" s="845"/>
      <c r="T108" s="846"/>
      <c r="U108" s="844"/>
      <c r="V108" s="845"/>
      <c r="W108" s="845"/>
      <c r="X108" s="845"/>
      <c r="Y108" s="845"/>
      <c r="Z108" s="846"/>
      <c r="AA108" s="844"/>
      <c r="AB108" s="845"/>
      <c r="AC108" s="845"/>
      <c r="AD108" s="845"/>
      <c r="AE108" s="845"/>
      <c r="AF108" s="846"/>
      <c r="AG108" s="844"/>
      <c r="AH108" s="845"/>
      <c r="AI108" s="845"/>
      <c r="AJ108" s="845"/>
      <c r="AK108" s="845"/>
      <c r="AL108" s="846"/>
      <c r="AM108" s="844"/>
      <c r="AN108" s="845"/>
      <c r="AO108" s="845"/>
      <c r="AP108" s="845"/>
      <c r="AQ108" s="845"/>
      <c r="AR108" s="846"/>
      <c r="AS108" s="844"/>
      <c r="AT108" s="845"/>
      <c r="AU108" s="845"/>
      <c r="AV108" s="845"/>
      <c r="AW108" s="845"/>
      <c r="AX108" s="846"/>
      <c r="AY108" s="844"/>
      <c r="AZ108" s="845"/>
      <c r="BA108" s="845"/>
      <c r="BB108" s="845"/>
      <c r="BC108" s="845"/>
      <c r="BD108" s="846"/>
      <c r="BE108" s="844" t="e">
        <f>SUM(BG106:BJ107)*[1]CPU!$H$2191</f>
        <v>#REF!</v>
      </c>
      <c r="BF108" s="845"/>
      <c r="BG108" s="845"/>
      <c r="BH108" s="845"/>
      <c r="BI108" s="845"/>
      <c r="BJ108" s="846"/>
      <c r="BK108" s="844" t="e">
        <f>SUM(BM106:BP107)*[1]CPU!$H$2191</f>
        <v>#REF!</v>
      </c>
      <c r="BL108" s="845"/>
      <c r="BM108" s="845"/>
      <c r="BN108" s="845"/>
      <c r="BO108" s="845"/>
      <c r="BP108" s="846"/>
      <c r="BQ108" s="844" t="e">
        <f>SUM(BS106:BV107)*[1]CPU!$H$2191</f>
        <v>#REF!</v>
      </c>
      <c r="BR108" s="845"/>
      <c r="BS108" s="845"/>
      <c r="BT108" s="845"/>
      <c r="BU108" s="845"/>
      <c r="BV108" s="846"/>
      <c r="BW108" s="522"/>
      <c r="BX108" s="523"/>
      <c r="BY108" s="523"/>
      <c r="BZ108" s="523"/>
      <c r="CA108" s="523"/>
      <c r="CB108" s="524"/>
    </row>
    <row r="109" spans="2:80" ht="16.5">
      <c r="B109" s="531"/>
      <c r="C109" s="516"/>
      <c r="D109" s="847"/>
      <c r="E109" s="847"/>
      <c r="F109" s="530"/>
      <c r="G109" s="523"/>
      <c r="H109" s="503"/>
      <c r="I109" s="526"/>
      <c r="J109" s="512"/>
      <c r="K109" s="512"/>
      <c r="L109" s="512"/>
      <c r="M109" s="512"/>
      <c r="N109" s="513"/>
      <c r="O109" s="522"/>
      <c r="P109" s="523"/>
      <c r="Q109" s="523"/>
      <c r="R109" s="523"/>
      <c r="S109" s="523"/>
      <c r="T109" s="524"/>
      <c r="U109" s="522"/>
      <c r="V109" s="523"/>
      <c r="W109" s="523"/>
      <c r="X109" s="523"/>
      <c r="Y109" s="523"/>
      <c r="Z109" s="524"/>
      <c r="AA109" s="522"/>
      <c r="AB109" s="523"/>
      <c r="AC109" s="523"/>
      <c r="AD109" s="523"/>
      <c r="AE109" s="523"/>
      <c r="AF109" s="524"/>
      <c r="AG109" s="522"/>
      <c r="AH109" s="523"/>
      <c r="AI109" s="523"/>
      <c r="AJ109" s="523"/>
      <c r="AK109" s="523"/>
      <c r="AL109" s="524"/>
      <c r="AM109" s="526"/>
      <c r="AN109" s="512"/>
      <c r="AO109" s="512"/>
      <c r="AP109" s="512"/>
      <c r="AQ109" s="512"/>
      <c r="AR109" s="513"/>
      <c r="AS109" s="512"/>
      <c r="AT109" s="512"/>
      <c r="AU109" s="512"/>
      <c r="AV109" s="512"/>
      <c r="AW109" s="512"/>
      <c r="AX109" s="513"/>
      <c r="AY109" s="526"/>
      <c r="AZ109" s="512"/>
      <c r="BA109" s="512"/>
      <c r="BB109" s="512"/>
      <c r="BC109" s="512"/>
      <c r="BD109" s="513"/>
      <c r="BE109" s="526"/>
      <c r="BF109" s="512"/>
      <c r="BG109" s="512"/>
      <c r="BH109" s="512"/>
      <c r="BI109" s="512"/>
      <c r="BJ109" s="513"/>
      <c r="BK109" s="526"/>
      <c r="BL109" s="512"/>
      <c r="BM109" s="512"/>
      <c r="BN109" s="512"/>
      <c r="BO109" s="512"/>
      <c r="BP109" s="513"/>
      <c r="BQ109" s="512"/>
      <c r="BR109" s="512"/>
      <c r="BS109" s="512"/>
      <c r="BT109" s="512"/>
      <c r="BU109" s="512"/>
      <c r="BV109" s="513"/>
      <c r="BW109" s="526"/>
      <c r="BX109" s="512"/>
      <c r="BY109" s="512"/>
      <c r="BZ109" s="512"/>
      <c r="CA109" s="512"/>
      <c r="CB109" s="513"/>
    </row>
    <row r="110" spans="2:80" ht="16.5">
      <c r="B110" s="529"/>
      <c r="C110" s="536"/>
      <c r="D110" s="630" t="str">
        <f>[1]CPU!A888</f>
        <v>CHARLIE 3 EXT. B</v>
      </c>
      <c r="E110" s="530"/>
      <c r="F110" s="532" t="s">
        <v>100</v>
      </c>
      <c r="G110" s="631">
        <f>[1]CPU!H984</f>
        <v>6.785452658851292</v>
      </c>
      <c r="H110" s="523"/>
      <c r="I110" s="522"/>
      <c r="J110" s="523"/>
      <c r="K110" s="523"/>
      <c r="L110" s="523"/>
      <c r="M110" s="523"/>
      <c r="N110" s="524"/>
      <c r="O110" s="526"/>
      <c r="P110" s="512"/>
      <c r="Q110" s="512"/>
      <c r="R110" s="512"/>
      <c r="S110" s="512"/>
      <c r="T110" s="513"/>
      <c r="U110" s="526"/>
      <c r="V110" s="512"/>
      <c r="W110" s="512"/>
      <c r="X110" s="512"/>
      <c r="Y110" s="512"/>
      <c r="Z110" s="513"/>
      <c r="AA110" s="526"/>
      <c r="AB110" s="512"/>
      <c r="AC110" s="512"/>
      <c r="AD110" s="512"/>
      <c r="AE110" s="512"/>
      <c r="AF110" s="513"/>
      <c r="AG110" s="526"/>
      <c r="AH110" s="512"/>
      <c r="AI110" s="512"/>
      <c r="AJ110" s="512"/>
      <c r="AK110" s="512"/>
      <c r="AL110" s="513"/>
      <c r="AM110" s="522"/>
      <c r="AN110" s="523"/>
      <c r="AO110" s="523"/>
      <c r="AP110" s="523"/>
      <c r="AQ110" s="523"/>
      <c r="AR110" s="524"/>
      <c r="AS110" s="523"/>
      <c r="AT110" s="523"/>
      <c r="AU110" s="523"/>
      <c r="AV110" s="523"/>
      <c r="AW110" s="523"/>
      <c r="AX110" s="524"/>
      <c r="AY110" s="522"/>
      <c r="AZ110" s="523"/>
      <c r="BA110" s="523"/>
      <c r="BB110" s="523"/>
      <c r="BC110" s="523"/>
      <c r="BD110" s="524"/>
      <c r="BE110" s="522"/>
      <c r="BF110" s="523"/>
      <c r="BG110" s="523"/>
      <c r="BH110" s="523"/>
      <c r="BI110" s="523"/>
      <c r="BJ110" s="524"/>
      <c r="BK110" s="650"/>
      <c r="BL110" s="523"/>
      <c r="BM110" s="523"/>
      <c r="BN110" s="523"/>
      <c r="BO110" s="523"/>
      <c r="BP110" s="524"/>
      <c r="BQ110" s="523"/>
      <c r="BR110" s="523"/>
      <c r="BS110" s="523"/>
      <c r="BT110" s="523"/>
      <c r="BU110" s="523"/>
      <c r="BV110" s="524"/>
      <c r="BW110" s="522"/>
      <c r="BX110" s="523"/>
      <c r="BY110" s="523"/>
      <c r="BZ110" s="523"/>
      <c r="CA110" s="523"/>
      <c r="CB110" s="524"/>
    </row>
    <row r="111" spans="2:80" ht="16.5">
      <c r="B111" s="529"/>
      <c r="C111" s="530"/>
      <c r="D111" s="530"/>
      <c r="E111" s="537" t="s">
        <v>485</v>
      </c>
      <c r="F111" s="537" t="s">
        <v>13</v>
      </c>
      <c r="G111" s="553">
        <f>[1]CPU!H968</f>
        <v>257641.68</v>
      </c>
      <c r="H111" s="523"/>
      <c r="I111" s="853"/>
      <c r="J111" s="845"/>
      <c r="K111" s="845"/>
      <c r="L111" s="845"/>
      <c r="M111" s="845"/>
      <c r="N111" s="846"/>
      <c r="O111" s="850"/>
      <c r="P111" s="851"/>
      <c r="Q111" s="848"/>
      <c r="R111" s="848"/>
      <c r="S111" s="848"/>
      <c r="T111" s="849"/>
      <c r="U111" s="850"/>
      <c r="V111" s="851"/>
      <c r="W111" s="848"/>
      <c r="X111" s="848"/>
      <c r="Y111" s="848"/>
      <c r="Z111" s="849"/>
      <c r="AA111" s="850"/>
      <c r="AB111" s="851"/>
      <c r="AC111" s="848"/>
      <c r="AD111" s="848"/>
      <c r="AE111" s="848"/>
      <c r="AF111" s="849"/>
      <c r="AG111" s="850"/>
      <c r="AH111" s="851"/>
      <c r="AI111" s="848"/>
      <c r="AJ111" s="848"/>
      <c r="AK111" s="848"/>
      <c r="AL111" s="849"/>
      <c r="AM111" s="850"/>
      <c r="AN111" s="851"/>
      <c r="AO111" s="848"/>
      <c r="AP111" s="848"/>
      <c r="AQ111" s="848"/>
      <c r="AR111" s="849"/>
      <c r="AS111" s="850"/>
      <c r="AT111" s="851"/>
      <c r="AU111" s="848"/>
      <c r="AV111" s="848"/>
      <c r="AW111" s="848"/>
      <c r="AX111" s="849"/>
      <c r="AY111" s="850"/>
      <c r="AZ111" s="851"/>
      <c r="BA111" s="848"/>
      <c r="BB111" s="848"/>
      <c r="BC111" s="848"/>
      <c r="BD111" s="849"/>
      <c r="BE111" s="850"/>
      <c r="BF111" s="851"/>
      <c r="BG111" s="848"/>
      <c r="BH111" s="848"/>
      <c r="BI111" s="848"/>
      <c r="BJ111" s="849"/>
      <c r="BK111" s="850">
        <f>[1]CPU!H972-BE111</f>
        <v>6.1004475063636354</v>
      </c>
      <c r="BL111" s="851"/>
      <c r="BM111" s="848">
        <f>[1]CPU!$H$961*[1]CPU!$H$970/30*BK111</f>
        <v>257641.68</v>
      </c>
      <c r="BN111" s="848"/>
      <c r="BO111" s="848"/>
      <c r="BP111" s="849"/>
      <c r="BQ111" s="850"/>
      <c r="BR111" s="851"/>
      <c r="BS111" s="848">
        <f>[1]CPU!$H$961*[1]CPU!$H$970/30*BQ111</f>
        <v>0</v>
      </c>
      <c r="BT111" s="848"/>
      <c r="BU111" s="848"/>
      <c r="BV111" s="849"/>
      <c r="BW111" s="852"/>
      <c r="BX111" s="845"/>
      <c r="BY111" s="845"/>
      <c r="BZ111" s="845"/>
      <c r="CA111" s="845"/>
      <c r="CB111" s="846"/>
    </row>
    <row r="112" spans="2:80" ht="16.5">
      <c r="B112" s="531"/>
      <c r="C112" s="516"/>
      <c r="D112" s="530"/>
      <c r="E112" s="537" t="s">
        <v>487</v>
      </c>
      <c r="F112" s="537" t="s">
        <v>13</v>
      </c>
      <c r="G112" s="553">
        <f>[1]CPU!H982</f>
        <v>28929.988842863739</v>
      </c>
      <c r="H112" s="503"/>
      <c r="I112" s="853"/>
      <c r="J112" s="845"/>
      <c r="K112" s="845"/>
      <c r="L112" s="845"/>
      <c r="M112" s="845"/>
      <c r="N112" s="846"/>
      <c r="O112" s="850"/>
      <c r="P112" s="851"/>
      <c r="Q112" s="848"/>
      <c r="R112" s="848"/>
      <c r="S112" s="848"/>
      <c r="T112" s="849"/>
      <c r="U112" s="850"/>
      <c r="V112" s="851"/>
      <c r="W112" s="848"/>
      <c r="X112" s="848"/>
      <c r="Y112" s="848"/>
      <c r="Z112" s="849"/>
      <c r="AA112" s="850"/>
      <c r="AB112" s="851"/>
      <c r="AC112" s="848"/>
      <c r="AD112" s="848"/>
      <c r="AE112" s="848"/>
      <c r="AF112" s="849"/>
      <c r="AG112" s="850"/>
      <c r="AH112" s="851"/>
      <c r="AI112" s="848"/>
      <c r="AJ112" s="848"/>
      <c r="AK112" s="848"/>
      <c r="AL112" s="849"/>
      <c r="AM112" s="850"/>
      <c r="AN112" s="851"/>
      <c r="AO112" s="848"/>
      <c r="AP112" s="848"/>
      <c r="AQ112" s="848"/>
      <c r="AR112" s="849"/>
      <c r="AS112" s="850"/>
      <c r="AT112" s="851"/>
      <c r="AU112" s="848"/>
      <c r="AV112" s="848"/>
      <c r="AW112" s="848"/>
      <c r="AX112" s="849"/>
      <c r="AY112" s="850"/>
      <c r="AZ112" s="851"/>
      <c r="BA112" s="848"/>
      <c r="BB112" s="848"/>
      <c r="BC112" s="848"/>
      <c r="BD112" s="849"/>
      <c r="BE112" s="850"/>
      <c r="BF112" s="851"/>
      <c r="BG112" s="848"/>
      <c r="BH112" s="848"/>
      <c r="BI112" s="848"/>
      <c r="BJ112" s="849"/>
      <c r="BK112" s="850" t="e">
        <f>[1]CPU!H976+(#REF!*SUM(Cron_fis!BK106:BL107,Cron_fis!BE106:BF107,Cron_fis!AY101:AZ102,Cron_fis!AS101:AT102,Cron_fis!AM101:AN102,Cron_fis!AG101,Cron_fis!AG102,Cron_fis!AG96:AH97,Cron_fis!AG91:AH92,Cron_fis!AA91:AB92,Cron_fis!AA86:AB87,Cron_fis!U86:V87,Cron_fis!U81:V82,Cron_fis!O81:P82,BE101:BF102)/([1]CPU!$H$961/30*#REF!))</f>
        <v>#REF!</v>
      </c>
      <c r="BL112" s="851"/>
      <c r="BM112" s="848" t="e">
        <f>[1]CPU!$H$961*[1]CPU!$H$970/30*BK112</f>
        <v>#REF!</v>
      </c>
      <c r="BN112" s="848"/>
      <c r="BO112" s="848"/>
      <c r="BP112" s="849"/>
      <c r="BQ112" s="850" t="e">
        <f>SUM([1]CPU!H980,[1]CPU!H976)-SUM(BK112)</f>
        <v>#REF!</v>
      </c>
      <c r="BR112" s="851"/>
      <c r="BS112" s="848" t="e">
        <f>[1]CPU!$H$961*[1]CPU!$H$970/30*BQ112</f>
        <v>#REF!</v>
      </c>
      <c r="BT112" s="848"/>
      <c r="BU112" s="848"/>
      <c r="BV112" s="849"/>
      <c r="BW112" s="852"/>
      <c r="BX112" s="845"/>
      <c r="BY112" s="845"/>
      <c r="BZ112" s="845"/>
      <c r="CA112" s="845"/>
      <c r="CB112" s="846"/>
    </row>
    <row r="113" spans="2:80" ht="16.5">
      <c r="B113" s="529"/>
      <c r="C113" s="536"/>
      <c r="D113" s="530"/>
      <c r="E113" s="530"/>
      <c r="F113" s="537" t="s">
        <v>171</v>
      </c>
      <c r="G113" s="538">
        <f>SUM([1]CPU!H2204)</f>
        <v>6794614.2700000005</v>
      </c>
      <c r="H113" s="523"/>
      <c r="I113" s="844"/>
      <c r="J113" s="845"/>
      <c r="K113" s="845"/>
      <c r="L113" s="845"/>
      <c r="M113" s="845"/>
      <c r="N113" s="846"/>
      <c r="O113" s="844"/>
      <c r="P113" s="845"/>
      <c r="Q113" s="845"/>
      <c r="R113" s="845"/>
      <c r="S113" s="845"/>
      <c r="T113" s="846"/>
      <c r="U113" s="844"/>
      <c r="V113" s="845"/>
      <c r="W113" s="845"/>
      <c r="X113" s="845"/>
      <c r="Y113" s="845"/>
      <c r="Z113" s="846"/>
      <c r="AA113" s="844"/>
      <c r="AB113" s="845"/>
      <c r="AC113" s="845"/>
      <c r="AD113" s="845"/>
      <c r="AE113" s="845"/>
      <c r="AF113" s="846"/>
      <c r="AG113" s="844"/>
      <c r="AH113" s="845"/>
      <c r="AI113" s="845"/>
      <c r="AJ113" s="845"/>
      <c r="AK113" s="845"/>
      <c r="AL113" s="846"/>
      <c r="AM113" s="844"/>
      <c r="AN113" s="845"/>
      <c r="AO113" s="845"/>
      <c r="AP113" s="845"/>
      <c r="AQ113" s="845"/>
      <c r="AR113" s="846"/>
      <c r="AS113" s="844"/>
      <c r="AT113" s="845"/>
      <c r="AU113" s="845"/>
      <c r="AV113" s="845"/>
      <c r="AW113" s="845"/>
      <c r="AX113" s="846"/>
      <c r="AY113" s="844"/>
      <c r="AZ113" s="845"/>
      <c r="BA113" s="845"/>
      <c r="BB113" s="845"/>
      <c r="BC113" s="845"/>
      <c r="BD113" s="846"/>
      <c r="BE113" s="844"/>
      <c r="BF113" s="845"/>
      <c r="BG113" s="845"/>
      <c r="BH113" s="845"/>
      <c r="BI113" s="845"/>
      <c r="BJ113" s="846"/>
      <c r="BK113" s="844" t="e">
        <f>SUM(BM111:BP112)*[1]CPU!$H$2199</f>
        <v>#REF!</v>
      </c>
      <c r="BL113" s="845"/>
      <c r="BM113" s="845"/>
      <c r="BN113" s="845"/>
      <c r="BO113" s="845"/>
      <c r="BP113" s="846"/>
      <c r="BQ113" s="844" t="e">
        <f>SUM(BS111:BV112)*[1]CPU!$H$2199</f>
        <v>#REF!</v>
      </c>
      <c r="BR113" s="845"/>
      <c r="BS113" s="845"/>
      <c r="BT113" s="845"/>
      <c r="BU113" s="845"/>
      <c r="BV113" s="846"/>
      <c r="BW113" s="522"/>
      <c r="BX113" s="523"/>
      <c r="BY113" s="523"/>
      <c r="BZ113" s="523"/>
      <c r="CA113" s="523"/>
      <c r="CB113" s="524"/>
    </row>
    <row r="114" spans="2:80" ht="16.5">
      <c r="B114" s="531"/>
      <c r="C114" s="516"/>
      <c r="D114" s="656"/>
      <c r="E114" s="656"/>
      <c r="F114" s="537"/>
      <c r="G114" s="538"/>
      <c r="H114" s="523"/>
      <c r="I114" s="522"/>
      <c r="J114" s="523"/>
      <c r="K114" s="523"/>
      <c r="L114" s="523"/>
      <c r="M114" s="523"/>
      <c r="N114" s="524"/>
      <c r="O114" s="523"/>
      <c r="P114" s="657"/>
      <c r="Q114" s="657"/>
      <c r="R114" s="657"/>
      <c r="S114" s="657"/>
      <c r="T114" s="658"/>
      <c r="U114" s="659"/>
      <c r="V114" s="657"/>
      <c r="W114" s="657"/>
      <c r="X114" s="657"/>
      <c r="Y114" s="657"/>
      <c r="Z114" s="658"/>
      <c r="AA114" s="659"/>
      <c r="AB114" s="657"/>
      <c r="AC114" s="657"/>
      <c r="AD114" s="657"/>
      <c r="AE114" s="657"/>
      <c r="AF114" s="658"/>
      <c r="AG114" s="659"/>
      <c r="AH114" s="657"/>
      <c r="AI114" s="657"/>
      <c r="AJ114" s="657"/>
      <c r="AK114" s="657"/>
      <c r="AL114" s="658"/>
      <c r="AM114" s="852"/>
      <c r="AN114" s="845"/>
      <c r="AO114" s="845"/>
      <c r="AP114" s="845"/>
      <c r="AQ114" s="845"/>
      <c r="AR114" s="846"/>
      <c r="AS114" s="852"/>
      <c r="AT114" s="845"/>
      <c r="AU114" s="845"/>
      <c r="AV114" s="845"/>
      <c r="AW114" s="845"/>
      <c r="AX114" s="846"/>
      <c r="AY114" s="852"/>
      <c r="AZ114" s="845"/>
      <c r="BA114" s="845"/>
      <c r="BB114" s="845"/>
      <c r="BC114" s="845"/>
      <c r="BD114" s="846"/>
      <c r="BE114" s="852"/>
      <c r="BF114" s="845"/>
      <c r="BG114" s="845"/>
      <c r="BH114" s="845"/>
      <c r="BI114" s="845"/>
      <c r="BJ114" s="846"/>
      <c r="BK114" s="850"/>
      <c r="BL114" s="851"/>
      <c r="BM114" s="848"/>
      <c r="BN114" s="848"/>
      <c r="BO114" s="848"/>
      <c r="BP114" s="849"/>
      <c r="BQ114" s="852"/>
      <c r="BR114" s="845"/>
      <c r="BS114" s="845"/>
      <c r="BT114" s="845"/>
      <c r="BU114" s="845"/>
      <c r="BV114" s="846"/>
      <c r="BW114" s="852"/>
      <c r="BX114" s="845"/>
      <c r="BY114" s="845"/>
      <c r="BZ114" s="845"/>
      <c r="CA114" s="845"/>
      <c r="CB114" s="846"/>
    </row>
    <row r="115" spans="2:80" ht="16.5">
      <c r="B115" s="529"/>
      <c r="C115" s="536" t="s">
        <v>475</v>
      </c>
      <c r="D115" s="847">
        <f>[1]CPU!A990</f>
        <v>1800</v>
      </c>
      <c r="E115" s="847"/>
      <c r="F115" s="530"/>
      <c r="G115" s="523"/>
      <c r="H115" s="523"/>
      <c r="I115" s="852"/>
      <c r="J115" s="845"/>
      <c r="K115" s="845"/>
      <c r="L115" s="845"/>
      <c r="M115" s="845"/>
      <c r="N115" s="846"/>
      <c r="O115" s="523"/>
      <c r="P115" s="523"/>
      <c r="Q115" s="523"/>
      <c r="R115" s="523"/>
      <c r="S115" s="523"/>
      <c r="T115" s="524"/>
      <c r="U115" s="522"/>
      <c r="V115" s="523"/>
      <c r="W115" s="523"/>
      <c r="X115" s="523"/>
      <c r="Y115" s="523"/>
      <c r="Z115" s="524"/>
      <c r="AA115" s="522"/>
      <c r="AB115" s="523"/>
      <c r="AC115" s="523"/>
      <c r="AD115" s="520"/>
      <c r="AE115" s="520"/>
      <c r="AF115" s="521"/>
      <c r="AG115" s="525"/>
      <c r="AH115" s="520"/>
      <c r="AI115" s="520"/>
      <c r="AJ115" s="520"/>
      <c r="AK115" s="520"/>
      <c r="AL115" s="521"/>
      <c r="AM115" s="660"/>
      <c r="AN115" s="661"/>
      <c r="AO115" s="661"/>
      <c r="AP115" s="661"/>
      <c r="AQ115" s="661"/>
      <c r="AR115" s="662"/>
      <c r="AS115" s="660"/>
      <c r="AT115" s="661"/>
      <c r="AU115" s="661"/>
      <c r="AV115" s="661"/>
      <c r="AW115" s="661"/>
      <c r="AX115" s="662"/>
      <c r="AY115" s="660"/>
      <c r="AZ115" s="661"/>
      <c r="BA115" s="661"/>
      <c r="BB115" s="661"/>
      <c r="BC115" s="661"/>
      <c r="BD115" s="662"/>
      <c r="BE115" s="660"/>
      <c r="BF115" s="661"/>
      <c r="BG115" s="661"/>
      <c r="BH115" s="661"/>
      <c r="BI115" s="661"/>
      <c r="BJ115" s="662"/>
      <c r="BK115" s="663"/>
      <c r="BL115" s="664"/>
      <c r="BM115" s="665"/>
      <c r="BN115" s="665"/>
      <c r="BO115" s="665"/>
      <c r="BP115" s="666"/>
      <c r="BQ115" s="660"/>
      <c r="BR115" s="653"/>
      <c r="BS115" s="653"/>
      <c r="BT115" s="653"/>
      <c r="BU115" s="653"/>
      <c r="BV115" s="654"/>
      <c r="BW115" s="852"/>
      <c r="BX115" s="845"/>
      <c r="BY115" s="845"/>
      <c r="BZ115" s="845"/>
      <c r="CA115" s="845"/>
      <c r="CB115" s="846"/>
    </row>
    <row r="116" spans="2:80" ht="16.5">
      <c r="B116" s="529"/>
      <c r="C116" s="536"/>
      <c r="D116" s="630" t="str">
        <f>[1]CPU!A988</f>
        <v>ARMADILHA</v>
      </c>
      <c r="E116" s="530"/>
      <c r="F116" s="532" t="s">
        <v>100</v>
      </c>
      <c r="G116" s="631">
        <f>[1]CPU!H1284</f>
        <v>142.00868325195668</v>
      </c>
      <c r="H116" s="523"/>
      <c r="I116" s="522"/>
      <c r="J116" s="523"/>
      <c r="K116" s="523"/>
      <c r="L116" s="523"/>
      <c r="M116" s="523"/>
      <c r="N116" s="524"/>
      <c r="O116" s="526"/>
      <c r="P116" s="512"/>
      <c r="Q116" s="512"/>
      <c r="R116" s="512"/>
      <c r="S116" s="512"/>
      <c r="T116" s="513"/>
      <c r="U116" s="526"/>
      <c r="V116" s="512"/>
      <c r="W116" s="512"/>
      <c r="X116" s="512"/>
      <c r="Y116" s="512"/>
      <c r="Z116" s="513"/>
      <c r="AA116" s="526"/>
      <c r="AB116" s="512"/>
      <c r="AC116" s="512"/>
      <c r="AD116" s="533"/>
      <c r="AE116" s="533"/>
      <c r="AF116" s="534"/>
      <c r="AG116" s="561"/>
      <c r="AH116" s="533"/>
      <c r="AI116" s="533"/>
      <c r="AJ116" s="533"/>
      <c r="AK116" s="533"/>
      <c r="AL116" s="534"/>
      <c r="AM116" s="541"/>
      <c r="AN116" s="539"/>
      <c r="AO116" s="539"/>
      <c r="AP116" s="539"/>
      <c r="AQ116" s="539"/>
      <c r="AR116" s="540"/>
      <c r="AS116" s="539"/>
      <c r="AT116" s="539"/>
      <c r="AU116" s="539"/>
      <c r="AV116" s="539"/>
      <c r="AW116" s="539"/>
      <c r="AX116" s="540"/>
      <c r="AY116" s="541"/>
      <c r="AZ116" s="539"/>
      <c r="BA116" s="539"/>
      <c r="BB116" s="539"/>
      <c r="BC116" s="539"/>
      <c r="BD116" s="667"/>
      <c r="BE116" s="668"/>
      <c r="BF116" s="523"/>
      <c r="BG116" s="523"/>
      <c r="BH116" s="523"/>
      <c r="BI116" s="523"/>
      <c r="BJ116" s="524"/>
      <c r="BK116" s="522"/>
      <c r="BL116" s="523"/>
      <c r="BM116" s="523"/>
      <c r="BN116" s="523"/>
      <c r="BO116" s="523"/>
      <c r="BP116" s="524"/>
      <c r="BQ116" s="523"/>
      <c r="BR116" s="523"/>
      <c r="BS116" s="523"/>
      <c r="BT116" s="523"/>
      <c r="BU116" s="523"/>
      <c r="BV116" s="524"/>
      <c r="BW116" s="522"/>
      <c r="BX116" s="523"/>
      <c r="BY116" s="523"/>
      <c r="BZ116" s="523"/>
      <c r="CA116" s="523"/>
      <c r="CB116" s="524"/>
    </row>
    <row r="117" spans="2:80" ht="16.5">
      <c r="B117" s="529"/>
      <c r="C117" s="530"/>
      <c r="D117" s="530"/>
      <c r="E117" s="537" t="s">
        <v>485</v>
      </c>
      <c r="F117" s="537" t="s">
        <v>13</v>
      </c>
      <c r="G117" s="553">
        <f>[1]CPU!H1268</f>
        <v>820600.29000000027</v>
      </c>
      <c r="H117" s="523"/>
      <c r="I117" s="852"/>
      <c r="J117" s="845"/>
      <c r="K117" s="845"/>
      <c r="L117" s="845"/>
      <c r="M117" s="845"/>
      <c r="N117" s="846"/>
      <c r="O117" s="850"/>
      <c r="P117" s="851"/>
      <c r="Q117" s="848"/>
      <c r="R117" s="848"/>
      <c r="S117" s="848"/>
      <c r="T117" s="849"/>
      <c r="U117" s="850"/>
      <c r="V117" s="851"/>
      <c r="W117" s="848"/>
      <c r="X117" s="848"/>
      <c r="Y117" s="848"/>
      <c r="Z117" s="849"/>
      <c r="AA117" s="850">
        <v>14.152131124748053</v>
      </c>
      <c r="AB117" s="851"/>
      <c r="AC117" s="848">
        <f>[1]CPU!$H$1270*[1]CPU!$H$1261/30*AA117</f>
        <v>89774.260367644776</v>
      </c>
      <c r="AD117" s="848"/>
      <c r="AE117" s="848"/>
      <c r="AF117" s="849"/>
      <c r="AG117" s="850">
        <v>30</v>
      </c>
      <c r="AH117" s="851"/>
      <c r="AI117" s="848">
        <f>[1]CPU!$H$1270*[1]CPU!$H$1261/30*AG117</f>
        <v>190305.45910641359</v>
      </c>
      <c r="AJ117" s="848"/>
      <c r="AK117" s="848"/>
      <c r="AL117" s="849"/>
      <c r="AM117" s="850">
        <v>30</v>
      </c>
      <c r="AN117" s="851"/>
      <c r="AO117" s="848">
        <f>[1]CPU!$H$1270*[1]CPU!$H$1261/30*AM117</f>
        <v>190305.45910641359</v>
      </c>
      <c r="AP117" s="848"/>
      <c r="AQ117" s="848"/>
      <c r="AR117" s="849"/>
      <c r="AS117" s="850">
        <v>30</v>
      </c>
      <c r="AT117" s="851"/>
      <c r="AU117" s="848">
        <f>[1]CPU!$H$1270*[1]CPU!$H$1261/30*AS117</f>
        <v>190305.45910641359</v>
      </c>
      <c r="AV117" s="848"/>
      <c r="AW117" s="848"/>
      <c r="AX117" s="849"/>
      <c r="AY117" s="850">
        <f>[1]CPU!H1272-SUM(AS117,AM117,AG117,AA117)</f>
        <v>25.208365497864804</v>
      </c>
      <c r="AZ117" s="851"/>
      <c r="BA117" s="848">
        <f>[1]CPU!$H$1270*[1]CPU!$H$1261/30*AY117</f>
        <v>159909.65231311458</v>
      </c>
      <c r="BB117" s="848"/>
      <c r="BC117" s="848"/>
      <c r="BD117" s="849"/>
      <c r="BE117" s="850"/>
      <c r="BF117" s="851"/>
      <c r="BG117" s="848">
        <f>[1]CPU!$H$1270*[1]CPU!$H$1261/30*BE117</f>
        <v>0</v>
      </c>
      <c r="BH117" s="848"/>
      <c r="BI117" s="848"/>
      <c r="BJ117" s="849"/>
      <c r="BK117" s="850"/>
      <c r="BL117" s="851"/>
      <c r="BM117" s="848"/>
      <c r="BN117" s="848"/>
      <c r="BO117" s="848"/>
      <c r="BP117" s="849"/>
      <c r="BQ117" s="850"/>
      <c r="BR117" s="851"/>
      <c r="BS117" s="848">
        <f>[1]CPU!$H$1270*[1]CPU!$H$1261/30*BQ117</f>
        <v>0</v>
      </c>
      <c r="BT117" s="848"/>
      <c r="BU117" s="848"/>
      <c r="BV117" s="849"/>
      <c r="BW117" s="852"/>
      <c r="BX117" s="845"/>
      <c r="BY117" s="845"/>
      <c r="BZ117" s="845"/>
      <c r="CA117" s="845"/>
      <c r="CB117" s="846"/>
    </row>
    <row r="118" spans="2:80" ht="16.5">
      <c r="B118" s="531"/>
      <c r="C118" s="516"/>
      <c r="D118" s="530"/>
      <c r="E118" s="537" t="s">
        <v>487</v>
      </c>
      <c r="F118" s="537" t="s">
        <v>13</v>
      </c>
      <c r="G118" s="553">
        <f>[1]CPU!H1282</f>
        <v>80233.965445362701</v>
      </c>
      <c r="H118" s="503"/>
      <c r="I118" s="852"/>
      <c r="J118" s="845"/>
      <c r="K118" s="845"/>
      <c r="L118" s="845"/>
      <c r="M118" s="845"/>
      <c r="N118" s="846"/>
      <c r="O118" s="850"/>
      <c r="P118" s="851"/>
      <c r="Q118" s="848"/>
      <c r="R118" s="848"/>
      <c r="S118" s="848"/>
      <c r="T118" s="849"/>
      <c r="U118" s="850"/>
      <c r="V118" s="851"/>
      <c r="W118" s="848"/>
      <c r="X118" s="848"/>
      <c r="Y118" s="848"/>
      <c r="Z118" s="849"/>
      <c r="AA118" s="850"/>
      <c r="AB118" s="851"/>
      <c r="AC118" s="848">
        <f>[1]CPU!$H$1270*[1]CPU!$H$1261/30*AA118</f>
        <v>0</v>
      </c>
      <c r="AD118" s="848"/>
      <c r="AE118" s="848"/>
      <c r="AF118" s="849"/>
      <c r="AG118" s="850"/>
      <c r="AH118" s="851"/>
      <c r="AI118" s="848">
        <f>[1]CPU!$H$1270*[1]CPU!$H$1261/30*AG118</f>
        <v>0</v>
      </c>
      <c r="AJ118" s="848"/>
      <c r="AK118" s="848"/>
      <c r="AL118" s="849"/>
      <c r="AM118" s="850"/>
      <c r="AN118" s="851"/>
      <c r="AO118" s="848">
        <f>[1]CPU!$H$1270*[1]CPU!$H$1261/30*AM118</f>
        <v>0</v>
      </c>
      <c r="AP118" s="848"/>
      <c r="AQ118" s="848"/>
      <c r="AR118" s="849"/>
      <c r="AS118" s="850"/>
      <c r="AT118" s="851"/>
      <c r="AU118" s="848">
        <f>[1]CPU!$H$1270*[1]CPU!$H$1261/30*AS118</f>
        <v>0</v>
      </c>
      <c r="AV118" s="848"/>
      <c r="AW118" s="848"/>
      <c r="AX118" s="849"/>
      <c r="AY118" s="850">
        <f>30-AY117</f>
        <v>4.7916345021351958</v>
      </c>
      <c r="AZ118" s="851"/>
      <c r="BA118" s="848">
        <f>[1]CPU!$H$1270*[1]CPU!$H$1261/30*AY118</f>
        <v>30395.806793298998</v>
      </c>
      <c r="BB118" s="848"/>
      <c r="BC118" s="848"/>
      <c r="BD118" s="849"/>
      <c r="BE118" s="850" t="e">
        <f>([1]CPU!H1276-AY118)+#REF!*SUM(30-AA117,Cron_fis!U86:V87,Cron_fis!U81:V82,Cron_fis!O81:P82)/([1]CPU!$H$1261/30*#REF!)</f>
        <v>#REF!</v>
      </c>
      <c r="BF118" s="851"/>
      <c r="BG118" s="848" t="e">
        <f>[1]CPU!$H$1270*[1]CPU!$H$1261/30*BE118</f>
        <v>#REF!</v>
      </c>
      <c r="BH118" s="848"/>
      <c r="BI118" s="848"/>
      <c r="BJ118" s="849"/>
      <c r="BK118" s="850"/>
      <c r="BL118" s="851"/>
      <c r="BM118" s="848"/>
      <c r="BN118" s="848"/>
      <c r="BO118" s="848"/>
      <c r="BP118" s="849"/>
      <c r="BQ118" s="850" t="e">
        <f>SUM([1]CPU!H1276,[1]CPU!H1280)-SUM(BE118,AY118)</f>
        <v>#REF!</v>
      </c>
      <c r="BR118" s="851"/>
      <c r="BS118" s="848" t="e">
        <f>[1]CPU!$H$1270*[1]CPU!$H$1261/30*BQ118</f>
        <v>#REF!</v>
      </c>
      <c r="BT118" s="848"/>
      <c r="BU118" s="848"/>
      <c r="BV118" s="849"/>
      <c r="BW118" s="852"/>
      <c r="BX118" s="845"/>
      <c r="BY118" s="845"/>
      <c r="BZ118" s="845"/>
      <c r="CA118" s="845"/>
      <c r="CB118" s="846"/>
    </row>
    <row r="119" spans="2:80" ht="16.5">
      <c r="B119" s="529"/>
      <c r="C119" s="536"/>
      <c r="D119" s="530"/>
      <c r="E119" s="530"/>
      <c r="F119" s="537" t="s">
        <v>171</v>
      </c>
      <c r="G119" s="553">
        <f>[1]CPU!H2217</f>
        <v>18404043.829999998</v>
      </c>
      <c r="H119" s="523"/>
      <c r="I119" s="522"/>
      <c r="J119" s="523"/>
      <c r="K119" s="523"/>
      <c r="L119" s="523"/>
      <c r="M119" s="523"/>
      <c r="N119" s="524"/>
      <c r="O119" s="844"/>
      <c r="P119" s="845"/>
      <c r="Q119" s="845"/>
      <c r="R119" s="845"/>
      <c r="S119" s="845"/>
      <c r="T119" s="846"/>
      <c r="U119" s="844"/>
      <c r="V119" s="845"/>
      <c r="W119" s="845"/>
      <c r="X119" s="845"/>
      <c r="Y119" s="845"/>
      <c r="Z119" s="846"/>
      <c r="AA119" s="844">
        <f>SUM(AC117:AF118)*[1]CPU!$H$2212</f>
        <v>1834088.1393109828</v>
      </c>
      <c r="AB119" s="845"/>
      <c r="AC119" s="845"/>
      <c r="AD119" s="845"/>
      <c r="AE119" s="845"/>
      <c r="AF119" s="846"/>
      <c r="AG119" s="844">
        <f>SUM(AI117:AL118)*[1]CPU!$H$2212</f>
        <v>3887940.5295440294</v>
      </c>
      <c r="AH119" s="845"/>
      <c r="AI119" s="845"/>
      <c r="AJ119" s="845"/>
      <c r="AK119" s="845"/>
      <c r="AL119" s="846"/>
      <c r="AM119" s="844">
        <f>SUM(AO117:AR118)*[1]CPU!$H$2212</f>
        <v>3887940.5295440294</v>
      </c>
      <c r="AN119" s="845"/>
      <c r="AO119" s="845"/>
      <c r="AP119" s="845"/>
      <c r="AQ119" s="845"/>
      <c r="AR119" s="846"/>
      <c r="AS119" s="844">
        <f>SUM(AU117:AX118)*[1]CPU!$H$2212</f>
        <v>3887940.5295440294</v>
      </c>
      <c r="AT119" s="845"/>
      <c r="AU119" s="845"/>
      <c r="AV119" s="845"/>
      <c r="AW119" s="845"/>
      <c r="AX119" s="846"/>
      <c r="AY119" s="844">
        <f>SUM(BA117:BD118)*[1]CPU!$H$2212</f>
        <v>3887940.5295440294</v>
      </c>
      <c r="AZ119" s="845"/>
      <c r="BA119" s="845"/>
      <c r="BB119" s="845"/>
      <c r="BC119" s="845"/>
      <c r="BD119" s="846"/>
      <c r="BE119" s="844" t="e">
        <f>SUM(BG117:BJ118)*[1]CPU!$H$2212</f>
        <v>#REF!</v>
      </c>
      <c r="BF119" s="845"/>
      <c r="BG119" s="845"/>
      <c r="BH119" s="845"/>
      <c r="BI119" s="845"/>
      <c r="BJ119" s="846"/>
      <c r="BK119" s="844"/>
      <c r="BL119" s="845"/>
      <c r="BM119" s="845"/>
      <c r="BN119" s="845"/>
      <c r="BO119" s="845"/>
      <c r="BP119" s="846"/>
      <c r="BQ119" s="844" t="e">
        <f>SUM(BS117:BV118)*[1]CPU!$H$2212</f>
        <v>#REF!</v>
      </c>
      <c r="BR119" s="845"/>
      <c r="BS119" s="845"/>
      <c r="BT119" s="845"/>
      <c r="BU119" s="845"/>
      <c r="BV119" s="846"/>
      <c r="BW119" s="522"/>
      <c r="BX119" s="523"/>
      <c r="BY119" s="523"/>
      <c r="BZ119" s="523"/>
      <c r="CA119" s="523"/>
      <c r="CB119" s="524"/>
    </row>
    <row r="120" spans="2:80" ht="16.5">
      <c r="B120" s="531"/>
      <c r="C120" s="516"/>
      <c r="D120" s="847"/>
      <c r="E120" s="847"/>
      <c r="F120" s="530"/>
      <c r="G120" s="523"/>
      <c r="H120" s="503"/>
      <c r="I120" s="526"/>
      <c r="J120" s="512"/>
      <c r="K120" s="512"/>
      <c r="L120" s="512"/>
      <c r="M120" s="512"/>
      <c r="N120" s="513"/>
      <c r="O120" s="522"/>
      <c r="P120" s="523"/>
      <c r="Q120" s="523"/>
      <c r="R120" s="523"/>
      <c r="S120" s="523"/>
      <c r="T120" s="524"/>
      <c r="U120" s="522"/>
      <c r="V120" s="523"/>
      <c r="W120" s="523"/>
      <c r="X120" s="523"/>
      <c r="Y120" s="523"/>
      <c r="Z120" s="524"/>
      <c r="AA120" s="522"/>
      <c r="AB120" s="523"/>
      <c r="AC120" s="523"/>
      <c r="AD120" s="523"/>
      <c r="AE120" s="523"/>
      <c r="AF120" s="524"/>
      <c r="AG120" s="522"/>
      <c r="AH120" s="523"/>
      <c r="AI120" s="523"/>
      <c r="AJ120" s="523"/>
      <c r="AK120" s="523"/>
      <c r="AL120" s="524"/>
      <c r="AM120" s="526"/>
      <c r="AN120" s="512"/>
      <c r="AO120" s="512"/>
      <c r="AP120" s="512"/>
      <c r="AQ120" s="512"/>
      <c r="AR120" s="513"/>
      <c r="AS120" s="512"/>
      <c r="AT120" s="512"/>
      <c r="AU120" s="512"/>
      <c r="AV120" s="512"/>
      <c r="AW120" s="512"/>
      <c r="AX120" s="513"/>
      <c r="AY120" s="526"/>
      <c r="AZ120" s="512"/>
      <c r="BA120" s="512"/>
      <c r="BB120" s="512"/>
      <c r="BC120" s="512"/>
      <c r="BD120" s="513"/>
      <c r="BE120" s="526"/>
      <c r="BF120" s="512"/>
      <c r="BG120" s="512"/>
      <c r="BH120" s="512"/>
      <c r="BI120" s="512"/>
      <c r="BJ120" s="513"/>
      <c r="BK120" s="526"/>
      <c r="BL120" s="512"/>
      <c r="BM120" s="512"/>
      <c r="BN120" s="512"/>
      <c r="BO120" s="512"/>
      <c r="BP120" s="513"/>
      <c r="BQ120" s="512"/>
      <c r="BR120" s="512"/>
      <c r="BS120" s="512"/>
      <c r="BT120" s="512"/>
      <c r="BU120" s="512"/>
      <c r="BV120" s="513"/>
      <c r="BW120" s="526"/>
      <c r="BX120" s="512"/>
      <c r="BY120" s="512"/>
      <c r="BZ120" s="512"/>
      <c r="CA120" s="512"/>
      <c r="CB120" s="513"/>
    </row>
    <row r="121" spans="2:80" ht="16.5">
      <c r="B121" s="529"/>
      <c r="C121" s="536"/>
      <c r="D121" s="630" t="str">
        <f>[1]CPU!A1288</f>
        <v>CHARLIE 2</v>
      </c>
      <c r="E121" s="530"/>
      <c r="F121" s="532" t="s">
        <v>100</v>
      </c>
      <c r="G121" s="631">
        <f>[1]CPU!H1384</f>
        <v>39.371736562776867</v>
      </c>
      <c r="H121" s="523"/>
      <c r="I121" s="522"/>
      <c r="J121" s="523"/>
      <c r="K121" s="523"/>
      <c r="L121" s="523"/>
      <c r="M121" s="523"/>
      <c r="N121" s="524"/>
      <c r="O121" s="526"/>
      <c r="P121" s="512"/>
      <c r="Q121" s="512"/>
      <c r="R121" s="512"/>
      <c r="S121" s="512"/>
      <c r="T121" s="513"/>
      <c r="U121" s="526"/>
      <c r="V121" s="512"/>
      <c r="W121" s="512"/>
      <c r="X121" s="512"/>
      <c r="Y121" s="512"/>
      <c r="Z121" s="513"/>
      <c r="AA121" s="526"/>
      <c r="AB121" s="512"/>
      <c r="AC121" s="512"/>
      <c r="AD121" s="512"/>
      <c r="AE121" s="512"/>
      <c r="AF121" s="513"/>
      <c r="AG121" s="526"/>
      <c r="AH121" s="512"/>
      <c r="AI121" s="512"/>
      <c r="AJ121" s="512"/>
      <c r="AK121" s="512"/>
      <c r="AL121" s="513"/>
      <c r="AM121" s="522"/>
      <c r="AN121" s="523"/>
      <c r="AO121" s="523"/>
      <c r="AP121" s="523"/>
      <c r="AQ121" s="523"/>
      <c r="AR121" s="524"/>
      <c r="AS121" s="523"/>
      <c r="AT121" s="523"/>
      <c r="AU121" s="523"/>
      <c r="AV121" s="523"/>
      <c r="AW121" s="523"/>
      <c r="AX121" s="524"/>
      <c r="AY121" s="522"/>
      <c r="AZ121" s="523"/>
      <c r="BA121" s="523"/>
      <c r="BB121" s="523"/>
      <c r="BC121" s="523"/>
      <c r="BD121" s="524"/>
      <c r="BE121" s="522"/>
      <c r="BF121" s="523"/>
      <c r="BG121" s="539"/>
      <c r="BH121" s="539"/>
      <c r="BI121" s="539"/>
      <c r="BJ121" s="540"/>
      <c r="BK121" s="541"/>
      <c r="BL121" s="539"/>
      <c r="BM121" s="669"/>
      <c r="BN121" s="523"/>
      <c r="BO121" s="523"/>
      <c r="BP121" s="524"/>
      <c r="BQ121" s="523"/>
      <c r="BR121" s="523"/>
      <c r="BS121" s="523"/>
      <c r="BT121" s="523"/>
      <c r="BU121" s="523"/>
      <c r="BV121" s="524"/>
      <c r="BW121" s="522"/>
      <c r="BX121" s="523"/>
      <c r="BY121" s="523"/>
      <c r="BZ121" s="523"/>
      <c r="CA121" s="523"/>
      <c r="CB121" s="524"/>
    </row>
    <row r="122" spans="2:80" ht="16.5">
      <c r="B122" s="529"/>
      <c r="C122" s="530"/>
      <c r="D122" s="530"/>
      <c r="E122" s="537" t="s">
        <v>485</v>
      </c>
      <c r="F122" s="537" t="s">
        <v>13</v>
      </c>
      <c r="G122" s="553">
        <f>[1]CPU!H1368</f>
        <v>107855.48633009015</v>
      </c>
      <c r="H122" s="523"/>
      <c r="I122" s="852"/>
      <c r="J122" s="845"/>
      <c r="K122" s="845"/>
      <c r="L122" s="845"/>
      <c r="M122" s="845"/>
      <c r="N122" s="846"/>
      <c r="O122" s="850"/>
      <c r="P122" s="851"/>
      <c r="Q122" s="848"/>
      <c r="R122" s="848"/>
      <c r="S122" s="848"/>
      <c r="T122" s="849"/>
      <c r="U122" s="850"/>
      <c r="V122" s="851"/>
      <c r="W122" s="848"/>
      <c r="X122" s="848"/>
      <c r="Y122" s="848"/>
      <c r="Z122" s="849"/>
      <c r="AA122" s="850"/>
      <c r="AB122" s="851"/>
      <c r="AC122" s="848"/>
      <c r="AD122" s="848"/>
      <c r="AE122" s="848"/>
      <c r="AF122" s="849"/>
      <c r="AG122" s="850"/>
      <c r="AH122" s="851"/>
      <c r="AI122" s="848"/>
      <c r="AJ122" s="848"/>
      <c r="AK122" s="848"/>
      <c r="AL122" s="849"/>
      <c r="AM122" s="850"/>
      <c r="AN122" s="851"/>
      <c r="AO122" s="848"/>
      <c r="AP122" s="848"/>
      <c r="AQ122" s="848"/>
      <c r="AR122" s="849"/>
      <c r="AS122" s="850"/>
      <c r="AT122" s="851"/>
      <c r="AU122" s="848"/>
      <c r="AV122" s="848"/>
      <c r="AW122" s="848"/>
      <c r="AX122" s="849"/>
      <c r="AY122" s="850"/>
      <c r="AZ122" s="851"/>
      <c r="BA122" s="848"/>
      <c r="BB122" s="848"/>
      <c r="BC122" s="848"/>
      <c r="BD122" s="849"/>
      <c r="BE122" s="850" t="e">
        <f>30-BE118</f>
        <v>#REF!</v>
      </c>
      <c r="BF122" s="851"/>
      <c r="BG122" s="848" t="e">
        <f>[1]CPU!$H$1370*[1]CPU!$H$1361/30*BE122</f>
        <v>#REF!</v>
      </c>
      <c r="BH122" s="848"/>
      <c r="BI122" s="848"/>
      <c r="BJ122" s="849"/>
      <c r="BK122" s="850" t="e">
        <f>[1]CPU!H1372-BE122</f>
        <v>#REF!</v>
      </c>
      <c r="BL122" s="851"/>
      <c r="BM122" s="848" t="e">
        <f>[1]CPU!$H$1370*[1]CPU!$H$1361/30*BK122</f>
        <v>#REF!</v>
      </c>
      <c r="BN122" s="848"/>
      <c r="BO122" s="848"/>
      <c r="BP122" s="849"/>
      <c r="BQ122" s="850"/>
      <c r="BR122" s="851"/>
      <c r="BS122" s="848">
        <f>[1]CPU!$H$1370*[1]CPU!$H$1361/30*BQ122</f>
        <v>0</v>
      </c>
      <c r="BT122" s="848"/>
      <c r="BU122" s="848"/>
      <c r="BV122" s="849"/>
      <c r="BW122" s="852"/>
      <c r="BX122" s="845"/>
      <c r="BY122" s="845"/>
      <c r="BZ122" s="845"/>
      <c r="CA122" s="845"/>
      <c r="CB122" s="846"/>
    </row>
    <row r="123" spans="2:80" ht="16.5">
      <c r="B123" s="531"/>
      <c r="C123" s="516"/>
      <c r="D123" s="530"/>
      <c r="E123" s="537" t="s">
        <v>487</v>
      </c>
      <c r="F123" s="537" t="s">
        <v>13</v>
      </c>
      <c r="G123" s="553">
        <f>[1]CPU!H1382</f>
        <v>12272.280564018494</v>
      </c>
      <c r="H123" s="503"/>
      <c r="I123" s="852"/>
      <c r="J123" s="845"/>
      <c r="K123" s="845"/>
      <c r="L123" s="845"/>
      <c r="M123" s="845"/>
      <c r="N123" s="846"/>
      <c r="O123" s="850"/>
      <c r="P123" s="851"/>
      <c r="Q123" s="848"/>
      <c r="R123" s="848"/>
      <c r="S123" s="848"/>
      <c r="T123" s="849"/>
      <c r="U123" s="850"/>
      <c r="V123" s="851"/>
      <c r="W123" s="848"/>
      <c r="X123" s="848"/>
      <c r="Y123" s="848"/>
      <c r="Z123" s="849"/>
      <c r="AA123" s="850"/>
      <c r="AB123" s="851"/>
      <c r="AC123" s="848"/>
      <c r="AD123" s="848"/>
      <c r="AE123" s="848"/>
      <c r="AF123" s="849"/>
      <c r="AG123" s="850"/>
      <c r="AH123" s="851"/>
      <c r="AI123" s="848"/>
      <c r="AJ123" s="848"/>
      <c r="AK123" s="848"/>
      <c r="AL123" s="849"/>
      <c r="AM123" s="850"/>
      <c r="AN123" s="851"/>
      <c r="AO123" s="848"/>
      <c r="AP123" s="848"/>
      <c r="AQ123" s="848"/>
      <c r="AR123" s="849"/>
      <c r="AS123" s="850"/>
      <c r="AT123" s="851"/>
      <c r="AU123" s="848"/>
      <c r="AV123" s="848"/>
      <c r="AW123" s="848"/>
      <c r="AX123" s="849"/>
      <c r="AY123" s="850"/>
      <c r="AZ123" s="851"/>
      <c r="BA123" s="848"/>
      <c r="BB123" s="848"/>
      <c r="BC123" s="848"/>
      <c r="BD123" s="849"/>
      <c r="BE123" s="850"/>
      <c r="BF123" s="851"/>
      <c r="BG123" s="848">
        <f>[1]CPU!$H$1370*[1]CPU!$H$1361/30*BE123</f>
        <v>0</v>
      </c>
      <c r="BH123" s="848"/>
      <c r="BI123" s="848"/>
      <c r="BJ123" s="849"/>
      <c r="BK123" s="850" t="e">
        <f>[1]CPU!H1376+#REF!*SUM(Cron_fis!BE117:BF118,Cron_fis!AY117:AZ118,Cron_fis!AS117:AT118,Cron_fis!AM117:AN118,Cron_fis!AG117:AH118,Cron_fis!AA86:AB87,Cron_fis!AA91:AB92,Cron_fis!U86:V87,Cron_fis!U81:V82,Cron_fis!O81:P82)/([1]CPU!$H$1361/30*#REF!)</f>
        <v>#REF!</v>
      </c>
      <c r="BL123" s="851"/>
      <c r="BM123" s="848" t="e">
        <f>[1]CPU!$H$1370*[1]CPU!$H$1361/30*BK123</f>
        <v>#REF!</v>
      </c>
      <c r="BN123" s="848"/>
      <c r="BO123" s="848"/>
      <c r="BP123" s="849"/>
      <c r="BQ123" s="850" t="e">
        <f>[1]CPU!H1380-BK123+[1]CPU!H1376</f>
        <v>#REF!</v>
      </c>
      <c r="BR123" s="851"/>
      <c r="BS123" s="848" t="e">
        <f>[1]CPU!$H$1370*[1]CPU!$H$1361/30*BQ123</f>
        <v>#REF!</v>
      </c>
      <c r="BT123" s="848"/>
      <c r="BU123" s="848"/>
      <c r="BV123" s="849"/>
      <c r="BW123" s="852"/>
      <c r="BX123" s="845"/>
      <c r="BY123" s="845"/>
      <c r="BZ123" s="845"/>
      <c r="CA123" s="845"/>
      <c r="CB123" s="846"/>
    </row>
    <row r="124" spans="2:80" ht="16.5">
      <c r="B124" s="529"/>
      <c r="C124" s="536"/>
      <c r="D124" s="530"/>
      <c r="E124" s="530"/>
      <c r="F124" s="537" t="s">
        <v>171</v>
      </c>
      <c r="G124" s="538">
        <f>SUM([1]CPU!H2225)</f>
        <v>5103027.5399999991</v>
      </c>
      <c r="H124" s="523"/>
      <c r="I124" s="522"/>
      <c r="J124" s="523"/>
      <c r="K124" s="523"/>
      <c r="L124" s="523"/>
      <c r="M124" s="523"/>
      <c r="N124" s="524"/>
      <c r="O124" s="844"/>
      <c r="P124" s="845"/>
      <c r="Q124" s="845"/>
      <c r="R124" s="845"/>
      <c r="S124" s="845"/>
      <c r="T124" s="846"/>
      <c r="U124" s="844"/>
      <c r="V124" s="845"/>
      <c r="W124" s="845"/>
      <c r="X124" s="845"/>
      <c r="Y124" s="845"/>
      <c r="Z124" s="846"/>
      <c r="AA124" s="844"/>
      <c r="AB124" s="845"/>
      <c r="AC124" s="845"/>
      <c r="AD124" s="845"/>
      <c r="AE124" s="845"/>
      <c r="AF124" s="846"/>
      <c r="AG124" s="844"/>
      <c r="AH124" s="845"/>
      <c r="AI124" s="845"/>
      <c r="AJ124" s="845"/>
      <c r="AK124" s="845"/>
      <c r="AL124" s="846"/>
      <c r="AM124" s="844"/>
      <c r="AN124" s="845"/>
      <c r="AO124" s="845"/>
      <c r="AP124" s="845"/>
      <c r="AQ124" s="845"/>
      <c r="AR124" s="846"/>
      <c r="AS124" s="844"/>
      <c r="AT124" s="845"/>
      <c r="AU124" s="845"/>
      <c r="AV124" s="845"/>
      <c r="AW124" s="845"/>
      <c r="AX124" s="846"/>
      <c r="AY124" s="844"/>
      <c r="AZ124" s="845"/>
      <c r="BA124" s="845"/>
      <c r="BB124" s="845"/>
      <c r="BC124" s="845"/>
      <c r="BD124" s="846"/>
      <c r="BE124" s="844" t="e">
        <f>SUM(BG122:BJ123)*[1]CPU!$H$2220</f>
        <v>#REF!</v>
      </c>
      <c r="BF124" s="845"/>
      <c r="BG124" s="845"/>
      <c r="BH124" s="845"/>
      <c r="BI124" s="845"/>
      <c r="BJ124" s="846"/>
      <c r="BK124" s="844" t="e">
        <f>SUM(BM122:BP123)*[1]CPU!$H$2220</f>
        <v>#REF!</v>
      </c>
      <c r="BL124" s="845"/>
      <c r="BM124" s="845"/>
      <c r="BN124" s="845"/>
      <c r="BO124" s="845"/>
      <c r="BP124" s="846"/>
      <c r="BQ124" s="844" t="e">
        <f>SUM(BS122:BV123)*[1]CPU!$H$2220</f>
        <v>#REF!</v>
      </c>
      <c r="BR124" s="845"/>
      <c r="BS124" s="845"/>
      <c r="BT124" s="845"/>
      <c r="BU124" s="845"/>
      <c r="BV124" s="846"/>
      <c r="BW124" s="522"/>
      <c r="BX124" s="523"/>
      <c r="BY124" s="523"/>
      <c r="BZ124" s="523"/>
      <c r="CA124" s="523"/>
      <c r="CB124" s="524"/>
    </row>
    <row r="125" spans="2:80" ht="16.5">
      <c r="B125" s="531"/>
      <c r="C125" s="516"/>
      <c r="D125" s="847"/>
      <c r="E125" s="847"/>
      <c r="F125" s="530"/>
      <c r="G125" s="523"/>
      <c r="H125" s="503"/>
      <c r="I125" s="526"/>
      <c r="J125" s="512"/>
      <c r="K125" s="512"/>
      <c r="L125" s="512"/>
      <c r="M125" s="512"/>
      <c r="N125" s="513"/>
      <c r="O125" s="522"/>
      <c r="P125" s="523"/>
      <c r="Q125" s="523"/>
      <c r="R125" s="523"/>
      <c r="S125" s="523"/>
      <c r="T125" s="524"/>
      <c r="U125" s="522"/>
      <c r="V125" s="523"/>
      <c r="W125" s="523"/>
      <c r="X125" s="523"/>
      <c r="Y125" s="523"/>
      <c r="Z125" s="524"/>
      <c r="AA125" s="522"/>
      <c r="AB125" s="523"/>
      <c r="AC125" s="523"/>
      <c r="AD125" s="523"/>
      <c r="AE125" s="523"/>
      <c r="AF125" s="524"/>
      <c r="AG125" s="522"/>
      <c r="AH125" s="523"/>
      <c r="AI125" s="523"/>
      <c r="AJ125" s="523"/>
      <c r="AK125" s="523"/>
      <c r="AL125" s="524"/>
      <c r="AM125" s="526"/>
      <c r="AN125" s="512"/>
      <c r="AO125" s="512"/>
      <c r="AP125" s="512"/>
      <c r="AQ125" s="512"/>
      <c r="AR125" s="513"/>
      <c r="AS125" s="512"/>
      <c r="AT125" s="512"/>
      <c r="AU125" s="512"/>
      <c r="AV125" s="512"/>
      <c r="AW125" s="512"/>
      <c r="AX125" s="513"/>
      <c r="AY125" s="526"/>
      <c r="AZ125" s="512"/>
      <c r="BA125" s="512"/>
      <c r="BB125" s="512"/>
      <c r="BC125" s="512"/>
      <c r="BD125" s="513"/>
      <c r="BE125" s="526"/>
      <c r="BF125" s="512"/>
      <c r="BG125" s="512"/>
      <c r="BH125" s="512"/>
      <c r="BI125" s="512"/>
      <c r="BJ125" s="513"/>
      <c r="BK125" s="526"/>
      <c r="BL125" s="512"/>
      <c r="BM125" s="512"/>
      <c r="BN125" s="512"/>
      <c r="BO125" s="512"/>
      <c r="BP125" s="513"/>
      <c r="BQ125" s="512"/>
      <c r="BR125" s="512"/>
      <c r="BS125" s="512"/>
      <c r="BT125" s="512"/>
      <c r="BU125" s="512"/>
      <c r="BV125" s="513"/>
      <c r="BW125" s="526"/>
      <c r="BX125" s="512"/>
      <c r="BY125" s="512"/>
      <c r="BZ125" s="512"/>
      <c r="CA125" s="512"/>
      <c r="CB125" s="513"/>
    </row>
    <row r="126" spans="2:80" ht="16.5">
      <c r="B126" s="529"/>
      <c r="C126" s="536"/>
      <c r="D126" s="630" t="str">
        <f>[1]CPU!A1388</f>
        <v>CHARLIE 3 INT. A</v>
      </c>
      <c r="E126" s="530"/>
      <c r="F126" s="532" t="s">
        <v>100</v>
      </c>
      <c r="G126" s="631">
        <f>[1]CPU!H1484</f>
        <v>18.657144495229169</v>
      </c>
      <c r="H126" s="523"/>
      <c r="I126" s="522"/>
      <c r="J126" s="523"/>
      <c r="K126" s="523"/>
      <c r="L126" s="523"/>
      <c r="M126" s="523"/>
      <c r="N126" s="524"/>
      <c r="O126" s="526"/>
      <c r="P126" s="512"/>
      <c r="Q126" s="512"/>
      <c r="R126" s="512"/>
      <c r="S126" s="512"/>
      <c r="T126" s="513"/>
      <c r="U126" s="526"/>
      <c r="V126" s="512"/>
      <c r="W126" s="512"/>
      <c r="X126" s="512"/>
      <c r="Y126" s="512"/>
      <c r="Z126" s="513"/>
      <c r="AA126" s="526"/>
      <c r="AB126" s="512"/>
      <c r="AC126" s="512"/>
      <c r="AD126" s="512"/>
      <c r="AE126" s="512"/>
      <c r="AF126" s="513"/>
      <c r="AG126" s="526"/>
      <c r="AH126" s="512"/>
      <c r="AI126" s="512"/>
      <c r="AJ126" s="512"/>
      <c r="AK126" s="512"/>
      <c r="AL126" s="513"/>
      <c r="AM126" s="522"/>
      <c r="AN126" s="523"/>
      <c r="AO126" s="523"/>
      <c r="AP126" s="523"/>
      <c r="AQ126" s="523"/>
      <c r="AR126" s="524"/>
      <c r="AS126" s="523"/>
      <c r="AT126" s="523"/>
      <c r="AU126" s="523"/>
      <c r="AV126" s="523"/>
      <c r="AW126" s="523"/>
      <c r="AX126" s="524"/>
      <c r="AY126" s="522"/>
      <c r="AZ126" s="523"/>
      <c r="BA126" s="523"/>
      <c r="BB126" s="523"/>
      <c r="BC126" s="523"/>
      <c r="BD126" s="524"/>
      <c r="BE126" s="522"/>
      <c r="BF126" s="523"/>
      <c r="BG126" s="523"/>
      <c r="BH126" s="523"/>
      <c r="BI126" s="523"/>
      <c r="BJ126" s="524"/>
      <c r="BK126" s="522"/>
      <c r="BL126" s="523"/>
      <c r="BM126" s="523"/>
      <c r="BN126" s="539"/>
      <c r="BO126" s="539"/>
      <c r="BP126" s="540"/>
      <c r="BQ126" s="670"/>
      <c r="BR126" s="523"/>
      <c r="BS126" s="523"/>
      <c r="BT126" s="523"/>
      <c r="BU126" s="523"/>
      <c r="BV126" s="524"/>
      <c r="BW126" s="522"/>
      <c r="BX126" s="523"/>
      <c r="BY126" s="523"/>
      <c r="BZ126" s="523"/>
      <c r="CA126" s="523"/>
      <c r="CB126" s="524"/>
    </row>
    <row r="127" spans="2:80" ht="16.5">
      <c r="B127" s="529"/>
      <c r="C127" s="530"/>
      <c r="D127" s="530"/>
      <c r="E127" s="537" t="s">
        <v>485</v>
      </c>
      <c r="F127" s="537" t="s">
        <v>13</v>
      </c>
      <c r="G127" s="553">
        <f>[1]CPU!H1468</f>
        <v>52919.840000000004</v>
      </c>
      <c r="H127" s="523"/>
      <c r="I127" s="852"/>
      <c r="J127" s="845"/>
      <c r="K127" s="845"/>
      <c r="L127" s="845"/>
      <c r="M127" s="845"/>
      <c r="N127" s="846"/>
      <c r="O127" s="850"/>
      <c r="P127" s="851"/>
      <c r="Q127" s="848"/>
      <c r="R127" s="848"/>
      <c r="S127" s="848"/>
      <c r="T127" s="849"/>
      <c r="U127" s="850"/>
      <c r="V127" s="851"/>
      <c r="W127" s="848"/>
      <c r="X127" s="848"/>
      <c r="Y127" s="848"/>
      <c r="Z127" s="849"/>
      <c r="AA127" s="850"/>
      <c r="AB127" s="851"/>
      <c r="AC127" s="848"/>
      <c r="AD127" s="848"/>
      <c r="AE127" s="848"/>
      <c r="AF127" s="849"/>
      <c r="AG127" s="850"/>
      <c r="AH127" s="851"/>
      <c r="AI127" s="848"/>
      <c r="AJ127" s="848"/>
      <c r="AK127" s="848"/>
      <c r="AL127" s="849"/>
      <c r="AM127" s="850"/>
      <c r="AN127" s="851"/>
      <c r="AO127" s="848"/>
      <c r="AP127" s="848"/>
      <c r="AQ127" s="848"/>
      <c r="AR127" s="849"/>
      <c r="AS127" s="850"/>
      <c r="AT127" s="851"/>
      <c r="AU127" s="848"/>
      <c r="AV127" s="848"/>
      <c r="AW127" s="848"/>
      <c r="AX127" s="849"/>
      <c r="AY127" s="850"/>
      <c r="AZ127" s="851"/>
      <c r="BA127" s="848"/>
      <c r="BB127" s="848"/>
      <c r="BC127" s="848"/>
      <c r="BD127" s="849"/>
      <c r="BE127" s="850"/>
      <c r="BF127" s="851"/>
      <c r="BG127" s="848"/>
      <c r="BH127" s="848"/>
      <c r="BI127" s="848"/>
      <c r="BJ127" s="849"/>
      <c r="BK127" s="850" t="e">
        <f>30-SUM(BK122:BL123)</f>
        <v>#REF!</v>
      </c>
      <c r="BL127" s="851"/>
      <c r="BM127" s="848" t="e">
        <f>[1]CPU!$H$1470*[1]CPU!$H$1461/30*BK127</f>
        <v>#REF!</v>
      </c>
      <c r="BN127" s="848"/>
      <c r="BO127" s="848"/>
      <c r="BP127" s="849"/>
      <c r="BQ127" s="850" t="e">
        <f>[1]CPU!H1472-BK127</f>
        <v>#REF!</v>
      </c>
      <c r="BR127" s="851"/>
      <c r="BS127" s="848" t="e">
        <f>[1]CPU!$H$1470*[1]CPU!$H$1461/30*BQ127</f>
        <v>#REF!</v>
      </c>
      <c r="BT127" s="848"/>
      <c r="BU127" s="848"/>
      <c r="BV127" s="849"/>
      <c r="BW127" s="852"/>
      <c r="BX127" s="845"/>
      <c r="BY127" s="845"/>
      <c r="BZ127" s="845"/>
      <c r="CA127" s="845"/>
      <c r="CB127" s="846"/>
    </row>
    <row r="128" spans="2:80" ht="16.5">
      <c r="B128" s="531"/>
      <c r="C128" s="516"/>
      <c r="D128" s="530"/>
      <c r="E128" s="537" t="s">
        <v>487</v>
      </c>
      <c r="F128" s="537" t="s">
        <v>13</v>
      </c>
      <c r="G128" s="553">
        <f>[1]CPU!H1482</f>
        <v>2213.2702952889467</v>
      </c>
      <c r="H128" s="503"/>
      <c r="I128" s="526"/>
      <c r="J128" s="512"/>
      <c r="K128" s="512"/>
      <c r="L128" s="512"/>
      <c r="M128" s="512"/>
      <c r="N128" s="513"/>
      <c r="O128" s="850"/>
      <c r="P128" s="851"/>
      <c r="Q128" s="848"/>
      <c r="R128" s="848"/>
      <c r="S128" s="848"/>
      <c r="T128" s="849"/>
      <c r="U128" s="850"/>
      <c r="V128" s="851"/>
      <c r="W128" s="848"/>
      <c r="X128" s="848"/>
      <c r="Y128" s="848"/>
      <c r="Z128" s="849"/>
      <c r="AA128" s="850"/>
      <c r="AB128" s="851"/>
      <c r="AC128" s="848"/>
      <c r="AD128" s="848"/>
      <c r="AE128" s="848"/>
      <c r="AF128" s="849"/>
      <c r="AG128" s="850"/>
      <c r="AH128" s="851"/>
      <c r="AI128" s="848"/>
      <c r="AJ128" s="848"/>
      <c r="AK128" s="848"/>
      <c r="AL128" s="849"/>
      <c r="AM128" s="850"/>
      <c r="AN128" s="851"/>
      <c r="AO128" s="848"/>
      <c r="AP128" s="848"/>
      <c r="AQ128" s="848"/>
      <c r="AR128" s="849"/>
      <c r="AS128" s="850"/>
      <c r="AT128" s="851"/>
      <c r="AU128" s="848"/>
      <c r="AV128" s="848"/>
      <c r="AW128" s="848"/>
      <c r="AX128" s="849"/>
      <c r="AY128" s="850"/>
      <c r="AZ128" s="851"/>
      <c r="BA128" s="848"/>
      <c r="BB128" s="848"/>
      <c r="BC128" s="848"/>
      <c r="BD128" s="849"/>
      <c r="BE128" s="850"/>
      <c r="BF128" s="851"/>
      <c r="BG128" s="848"/>
      <c r="BH128" s="848"/>
      <c r="BI128" s="848"/>
      <c r="BJ128" s="849"/>
      <c r="BK128" s="850"/>
      <c r="BL128" s="851"/>
      <c r="BM128" s="848">
        <f>[1]CPU!$H$1470*[1]CPU!$H$1461/30*BK128</f>
        <v>0</v>
      </c>
      <c r="BN128" s="848"/>
      <c r="BO128" s="848"/>
      <c r="BP128" s="849"/>
      <c r="BQ128" s="850">
        <f>SUM([1]CPU!H1476,[1]CPU!H1480)</f>
        <v>0.74897468118596</v>
      </c>
      <c r="BR128" s="851"/>
      <c r="BS128" s="848">
        <f>[1]CPU!$H$1470*[1]CPU!$H$1461/30*BQ128</f>
        <v>2213.2702952889467</v>
      </c>
      <c r="BT128" s="848"/>
      <c r="BU128" s="848"/>
      <c r="BV128" s="849"/>
      <c r="BW128" s="526"/>
      <c r="BX128" s="512"/>
      <c r="BY128" s="512"/>
      <c r="BZ128" s="512"/>
      <c r="CA128" s="512"/>
      <c r="CB128" s="513"/>
    </row>
    <row r="129" spans="2:80" ht="16.5">
      <c r="B129" s="529"/>
      <c r="C129" s="536"/>
      <c r="D129" s="530"/>
      <c r="E129" s="530"/>
      <c r="F129" s="537" t="s">
        <v>171</v>
      </c>
      <c r="G129" s="538">
        <f>SUM([1]CPU!H2233)</f>
        <v>2418138.2200000002</v>
      </c>
      <c r="H129" s="523"/>
      <c r="I129" s="522"/>
      <c r="J129" s="523"/>
      <c r="K129" s="523"/>
      <c r="L129" s="523"/>
      <c r="M129" s="523"/>
      <c r="N129" s="524"/>
      <c r="O129" s="844"/>
      <c r="P129" s="845"/>
      <c r="Q129" s="845"/>
      <c r="R129" s="845"/>
      <c r="S129" s="845"/>
      <c r="T129" s="846"/>
      <c r="U129" s="844"/>
      <c r="V129" s="845"/>
      <c r="W129" s="845"/>
      <c r="X129" s="845"/>
      <c r="Y129" s="845"/>
      <c r="Z129" s="846"/>
      <c r="AA129" s="844"/>
      <c r="AB129" s="845"/>
      <c r="AC129" s="845"/>
      <c r="AD129" s="845"/>
      <c r="AE129" s="845"/>
      <c r="AF129" s="846"/>
      <c r="AG129" s="844"/>
      <c r="AH129" s="845"/>
      <c r="AI129" s="845"/>
      <c r="AJ129" s="845"/>
      <c r="AK129" s="845"/>
      <c r="AL129" s="846"/>
      <c r="AM129" s="844"/>
      <c r="AN129" s="845"/>
      <c r="AO129" s="845"/>
      <c r="AP129" s="845"/>
      <c r="AQ129" s="845"/>
      <c r="AR129" s="846"/>
      <c r="AS129" s="844"/>
      <c r="AT129" s="845"/>
      <c r="AU129" s="845"/>
      <c r="AV129" s="845"/>
      <c r="AW129" s="845"/>
      <c r="AX129" s="846"/>
      <c r="AY129" s="844"/>
      <c r="AZ129" s="845"/>
      <c r="BA129" s="845"/>
      <c r="BB129" s="845"/>
      <c r="BC129" s="845"/>
      <c r="BD129" s="846"/>
      <c r="BE129" s="844"/>
      <c r="BF129" s="845"/>
      <c r="BG129" s="845"/>
      <c r="BH129" s="845"/>
      <c r="BI129" s="845"/>
      <c r="BJ129" s="846"/>
      <c r="BK129" s="844" t="e">
        <f>SUM(BM127:BP128)*[1]CPU!$H$2228</f>
        <v>#REF!</v>
      </c>
      <c r="BL129" s="845"/>
      <c r="BM129" s="845"/>
      <c r="BN129" s="845"/>
      <c r="BO129" s="845"/>
      <c r="BP129" s="846"/>
      <c r="BQ129" s="844" t="e">
        <f>SUM(BS127:BV128)*[1]CPU!$H$2228</f>
        <v>#REF!</v>
      </c>
      <c r="BR129" s="845"/>
      <c r="BS129" s="845"/>
      <c r="BT129" s="845"/>
      <c r="BU129" s="845"/>
      <c r="BV129" s="846"/>
      <c r="BW129" s="522"/>
      <c r="BX129" s="523"/>
      <c r="BY129" s="523"/>
      <c r="BZ129" s="523"/>
      <c r="CA129" s="523"/>
      <c r="CB129" s="524"/>
    </row>
    <row r="130" spans="2:80" ht="16.5">
      <c r="B130" s="529"/>
      <c r="C130" s="366"/>
      <c r="D130" s="366"/>
      <c r="E130" s="366"/>
      <c r="F130" s="530"/>
      <c r="G130" s="523"/>
      <c r="H130" s="503"/>
      <c r="I130" s="852"/>
      <c r="J130" s="845"/>
      <c r="K130" s="845"/>
      <c r="L130" s="845"/>
      <c r="M130" s="845"/>
      <c r="N130" s="846"/>
      <c r="O130" s="852"/>
      <c r="P130" s="845"/>
      <c r="Q130" s="848"/>
      <c r="R130" s="848"/>
      <c r="S130" s="848"/>
      <c r="T130" s="849"/>
      <c r="U130" s="850"/>
      <c r="V130" s="851"/>
      <c r="W130" s="848"/>
      <c r="X130" s="848"/>
      <c r="Y130" s="848"/>
      <c r="Z130" s="849"/>
      <c r="AA130" s="850"/>
      <c r="AB130" s="851"/>
      <c r="AC130" s="848"/>
      <c r="AD130" s="848"/>
      <c r="AE130" s="848"/>
      <c r="AF130" s="849"/>
      <c r="AG130" s="850"/>
      <c r="AH130" s="851"/>
      <c r="AI130" s="848"/>
      <c r="AJ130" s="848"/>
      <c r="AK130" s="848"/>
      <c r="AL130" s="849"/>
      <c r="AM130" s="852"/>
      <c r="AN130" s="845"/>
      <c r="AO130" s="845"/>
      <c r="AP130" s="845"/>
      <c r="AQ130" s="845"/>
      <c r="AR130" s="846"/>
      <c r="AS130" s="852"/>
      <c r="AT130" s="845"/>
      <c r="AU130" s="845"/>
      <c r="AV130" s="845"/>
      <c r="AW130" s="845"/>
      <c r="AX130" s="846"/>
      <c r="AY130" s="852"/>
      <c r="AZ130" s="845"/>
      <c r="BA130" s="845"/>
      <c r="BB130" s="845"/>
      <c r="BC130" s="845"/>
      <c r="BD130" s="846"/>
      <c r="BE130" s="852"/>
      <c r="BF130" s="845"/>
      <c r="BG130" s="845"/>
      <c r="BH130" s="845"/>
      <c r="BI130" s="845"/>
      <c r="BJ130" s="846"/>
      <c r="BK130" s="852"/>
      <c r="BL130" s="845"/>
      <c r="BM130" s="845"/>
      <c r="BN130" s="845"/>
      <c r="BO130" s="845"/>
      <c r="BP130" s="846"/>
      <c r="BQ130" s="852"/>
      <c r="BR130" s="845"/>
      <c r="BS130" s="845"/>
      <c r="BT130" s="845"/>
      <c r="BU130" s="845"/>
      <c r="BV130" s="846"/>
      <c r="BW130" s="852"/>
      <c r="BX130" s="845"/>
      <c r="BY130" s="845"/>
      <c r="BZ130" s="845"/>
      <c r="CA130" s="845"/>
      <c r="CB130" s="846"/>
    </row>
    <row r="131" spans="2:80" ht="16.5">
      <c r="B131" s="531"/>
      <c r="C131" s="536" t="s">
        <v>476</v>
      </c>
      <c r="D131" s="847" t="s">
        <v>473</v>
      </c>
      <c r="E131" s="847"/>
      <c r="F131" s="530"/>
      <c r="G131" s="523"/>
      <c r="H131" s="523"/>
      <c r="I131" s="526"/>
      <c r="J131" s="512"/>
      <c r="K131" s="512"/>
      <c r="L131" s="512"/>
      <c r="M131" s="512"/>
      <c r="N131" s="513"/>
      <c r="O131" s="522"/>
      <c r="P131" s="523"/>
      <c r="Q131" s="523"/>
      <c r="R131" s="523"/>
      <c r="S131" s="523"/>
      <c r="T131" s="524"/>
      <c r="U131" s="522"/>
      <c r="V131" s="523"/>
      <c r="W131" s="523"/>
      <c r="X131" s="523"/>
      <c r="Y131" s="523"/>
      <c r="Z131" s="524"/>
      <c r="AA131" s="522"/>
      <c r="AB131" s="523"/>
      <c r="AC131" s="523"/>
      <c r="AD131" s="523"/>
      <c r="AE131" s="523"/>
      <c r="AF131" s="524"/>
      <c r="AG131" s="522"/>
      <c r="AH131" s="523"/>
      <c r="AI131" s="523"/>
      <c r="AJ131" s="523"/>
      <c r="AK131" s="523"/>
      <c r="AL131" s="524"/>
      <c r="AM131" s="526"/>
      <c r="AN131" s="512"/>
      <c r="AO131" s="512"/>
      <c r="AP131" s="512"/>
      <c r="AQ131" s="512"/>
      <c r="AR131" s="513"/>
      <c r="AS131" s="512"/>
      <c r="AT131" s="512"/>
      <c r="AU131" s="512"/>
      <c r="AV131" s="512"/>
      <c r="AW131" s="512"/>
      <c r="AX131" s="513"/>
      <c r="AY131" s="526"/>
      <c r="AZ131" s="512"/>
      <c r="BA131" s="512"/>
      <c r="BB131" s="512"/>
      <c r="BC131" s="512"/>
      <c r="BD131" s="513"/>
      <c r="BE131" s="526"/>
      <c r="BF131" s="512"/>
      <c r="BG131" s="512"/>
      <c r="BH131" s="671"/>
      <c r="BI131" s="671"/>
      <c r="BJ131" s="672"/>
      <c r="BK131" s="673"/>
      <c r="BL131" s="671"/>
      <c r="BM131" s="671"/>
      <c r="BN131" s="671"/>
      <c r="BO131" s="671"/>
      <c r="BP131" s="672"/>
      <c r="BQ131" s="671"/>
      <c r="BR131" s="512"/>
      <c r="BS131" s="512"/>
      <c r="BT131" s="512"/>
      <c r="BU131" s="512"/>
      <c r="BV131" s="513"/>
      <c r="BW131" s="526"/>
      <c r="BX131" s="512"/>
      <c r="BY131" s="512"/>
      <c r="BZ131" s="512"/>
      <c r="CA131" s="512"/>
      <c r="CB131" s="513"/>
    </row>
    <row r="132" spans="2:80" ht="16.5">
      <c r="B132" s="529"/>
      <c r="C132" s="536"/>
      <c r="D132" s="630" t="str">
        <f>[1]CPU!A1488</f>
        <v>CHARLIE 3 INT. B</v>
      </c>
      <c r="E132" s="530"/>
      <c r="F132" s="532" t="s">
        <v>100</v>
      </c>
      <c r="G132" s="631">
        <f>[1]CPU!H2060</f>
        <v>41.124483089859773</v>
      </c>
      <c r="H132" s="523"/>
      <c r="I132" s="522"/>
      <c r="J132" s="523"/>
      <c r="K132" s="523"/>
      <c r="L132" s="523"/>
      <c r="M132" s="523"/>
      <c r="N132" s="524"/>
      <c r="O132" s="526"/>
      <c r="P132" s="512"/>
      <c r="Q132" s="512"/>
      <c r="R132" s="512"/>
      <c r="S132" s="512"/>
      <c r="T132" s="513"/>
      <c r="U132" s="526"/>
      <c r="V132" s="512"/>
      <c r="W132" s="512"/>
      <c r="X132" s="512"/>
      <c r="Y132" s="512"/>
      <c r="Z132" s="513"/>
      <c r="AA132" s="526"/>
      <c r="AB132" s="512"/>
      <c r="AC132" s="512"/>
      <c r="AD132" s="512"/>
      <c r="AE132" s="512"/>
      <c r="AF132" s="513"/>
      <c r="AG132" s="526"/>
      <c r="AH132" s="512"/>
      <c r="AI132" s="512"/>
      <c r="AJ132" s="512"/>
      <c r="AK132" s="512"/>
      <c r="AL132" s="513"/>
      <c r="AM132" s="522"/>
      <c r="AN132" s="523"/>
      <c r="AO132" s="523"/>
      <c r="AP132" s="523"/>
      <c r="AQ132" s="523"/>
      <c r="AR132" s="524"/>
      <c r="AS132" s="523"/>
      <c r="AT132" s="523"/>
      <c r="AU132" s="523"/>
      <c r="AV132" s="523"/>
      <c r="AW132" s="523"/>
      <c r="AX132" s="524"/>
      <c r="AY132" s="522"/>
      <c r="AZ132" s="523"/>
      <c r="BA132" s="523"/>
      <c r="BB132" s="523"/>
      <c r="BC132" s="523"/>
      <c r="BD132" s="524"/>
      <c r="BE132" s="522"/>
      <c r="BF132" s="523"/>
      <c r="BG132" s="523"/>
      <c r="BH132" s="539"/>
      <c r="BI132" s="539"/>
      <c r="BJ132" s="540"/>
      <c r="BK132" s="541"/>
      <c r="BL132" s="539"/>
      <c r="BM132" s="539"/>
      <c r="BN132" s="539"/>
      <c r="BO132" s="539"/>
      <c r="BP132" s="540"/>
      <c r="BQ132" s="670"/>
      <c r="BR132" s="523"/>
      <c r="BS132" s="523"/>
      <c r="BT132" s="523"/>
      <c r="BU132" s="523"/>
      <c r="BV132" s="524"/>
      <c r="BW132" s="522"/>
      <c r="BX132" s="523"/>
      <c r="BY132" s="523"/>
      <c r="BZ132" s="523"/>
      <c r="CA132" s="523"/>
      <c r="CB132" s="524"/>
    </row>
    <row r="133" spans="2:80" ht="16.5">
      <c r="B133" s="529"/>
      <c r="C133" s="530"/>
      <c r="D133" s="530"/>
      <c r="E133" s="537" t="s">
        <v>485</v>
      </c>
      <c r="F133" s="537" t="s">
        <v>13</v>
      </c>
      <c r="G133" s="553">
        <f>[1]CPU!H2044</f>
        <v>108854.68</v>
      </c>
      <c r="H133" s="523"/>
      <c r="I133" s="852"/>
      <c r="J133" s="845"/>
      <c r="K133" s="845"/>
      <c r="L133" s="845"/>
      <c r="M133" s="845"/>
      <c r="N133" s="846"/>
      <c r="O133" s="850"/>
      <c r="P133" s="851"/>
      <c r="Q133" s="848"/>
      <c r="R133" s="848"/>
      <c r="S133" s="848"/>
      <c r="T133" s="849"/>
      <c r="U133" s="850"/>
      <c r="V133" s="851"/>
      <c r="W133" s="848"/>
      <c r="X133" s="848"/>
      <c r="Y133" s="848"/>
      <c r="Z133" s="849"/>
      <c r="AA133" s="850"/>
      <c r="AB133" s="851"/>
      <c r="AC133" s="848"/>
      <c r="AD133" s="848"/>
      <c r="AE133" s="848"/>
      <c r="AF133" s="849"/>
      <c r="AG133" s="850"/>
      <c r="AH133" s="851"/>
      <c r="AI133" s="848"/>
      <c r="AJ133" s="848"/>
      <c r="AK133" s="848"/>
      <c r="AL133" s="849"/>
      <c r="AM133" s="850"/>
      <c r="AN133" s="851"/>
      <c r="AO133" s="848"/>
      <c r="AP133" s="848"/>
      <c r="AQ133" s="848"/>
      <c r="AR133" s="849"/>
      <c r="AS133" s="850"/>
      <c r="AT133" s="851"/>
      <c r="AU133" s="848"/>
      <c r="AV133" s="848"/>
      <c r="AW133" s="848"/>
      <c r="AX133" s="849"/>
      <c r="AY133" s="850"/>
      <c r="AZ133" s="851"/>
      <c r="BA133" s="848"/>
      <c r="BB133" s="848"/>
      <c r="BC133" s="848"/>
      <c r="BD133" s="849"/>
      <c r="BE133" s="850">
        <v>5.2390499046450998</v>
      </c>
      <c r="BF133" s="851"/>
      <c r="BG133" s="848">
        <f>[1]CPU!$H$2016*[1]CPU!$H$2046/30*BE133</f>
        <v>14250.215740634671</v>
      </c>
      <c r="BH133" s="848"/>
      <c r="BI133" s="848"/>
      <c r="BJ133" s="849"/>
      <c r="BK133" s="850">
        <v>30</v>
      </c>
      <c r="BL133" s="851"/>
      <c r="BM133" s="848">
        <f>[1]CPU!$H$2016*[1]CPU!$H$2046/30*BK133</f>
        <v>81600</v>
      </c>
      <c r="BN133" s="848"/>
      <c r="BO133" s="848"/>
      <c r="BP133" s="849"/>
      <c r="BQ133" s="850">
        <f>[1]CPU!H2048-SUM(BK133,BE133)</f>
        <v>4.7810530365313682</v>
      </c>
      <c r="BR133" s="851"/>
      <c r="BS133" s="848">
        <f>[1]CPU!$H$2016*[1]CPU!$H$2046/30*BQ133</f>
        <v>13004.464259365321</v>
      </c>
      <c r="BT133" s="848"/>
      <c r="BU133" s="848"/>
      <c r="BV133" s="849"/>
      <c r="BW133" s="852"/>
      <c r="BX133" s="845"/>
      <c r="BY133" s="845"/>
      <c r="BZ133" s="845"/>
      <c r="CA133" s="845"/>
      <c r="CB133" s="846"/>
    </row>
    <row r="134" spans="2:80" ht="16.5">
      <c r="B134" s="531"/>
      <c r="C134" s="516"/>
      <c r="D134" s="530"/>
      <c r="E134" s="537" t="s">
        <v>487</v>
      </c>
      <c r="F134" s="537" t="s">
        <v>13</v>
      </c>
      <c r="G134" s="553">
        <f>[1]CPU!H2058</f>
        <v>3003.9140044185947</v>
      </c>
      <c r="H134" s="503"/>
      <c r="I134" s="852"/>
      <c r="J134" s="845"/>
      <c r="K134" s="845"/>
      <c r="L134" s="845"/>
      <c r="M134" s="845"/>
      <c r="N134" s="846"/>
      <c r="O134" s="850"/>
      <c r="P134" s="851"/>
      <c r="Q134" s="848"/>
      <c r="R134" s="848"/>
      <c r="S134" s="848"/>
      <c r="T134" s="849"/>
      <c r="U134" s="850"/>
      <c r="V134" s="851"/>
      <c r="W134" s="848"/>
      <c r="X134" s="848"/>
      <c r="Y134" s="848"/>
      <c r="Z134" s="849"/>
      <c r="AA134" s="850"/>
      <c r="AB134" s="851"/>
      <c r="AC134" s="848"/>
      <c r="AD134" s="848"/>
      <c r="AE134" s="848"/>
      <c r="AF134" s="849"/>
      <c r="AG134" s="850"/>
      <c r="AH134" s="851"/>
      <c r="AI134" s="848"/>
      <c r="AJ134" s="848"/>
      <c r="AK134" s="848"/>
      <c r="AL134" s="849"/>
      <c r="AM134" s="850"/>
      <c r="AN134" s="851"/>
      <c r="AO134" s="848"/>
      <c r="AP134" s="848"/>
      <c r="AQ134" s="848"/>
      <c r="AR134" s="849"/>
      <c r="AS134" s="850"/>
      <c r="AT134" s="851"/>
      <c r="AU134" s="848"/>
      <c r="AV134" s="848"/>
      <c r="AW134" s="848"/>
      <c r="AX134" s="849"/>
      <c r="AY134" s="850"/>
      <c r="AZ134" s="851"/>
      <c r="BA134" s="848"/>
      <c r="BB134" s="848"/>
      <c r="BC134" s="848"/>
      <c r="BD134" s="849"/>
      <c r="BE134" s="850"/>
      <c r="BF134" s="851"/>
      <c r="BG134" s="848">
        <f>[1]CPU!$H$2016*[1]CPU!$H$2046/30*BE134</f>
        <v>0</v>
      </c>
      <c r="BH134" s="848"/>
      <c r="BI134" s="848"/>
      <c r="BJ134" s="849"/>
      <c r="BK134" s="850"/>
      <c r="BL134" s="851"/>
      <c r="BM134" s="848">
        <f>[1]CPU!$H$2016*[1]CPU!$H$2046/30*BK134</f>
        <v>0</v>
      </c>
      <c r="BN134" s="848"/>
      <c r="BO134" s="848"/>
      <c r="BP134" s="849"/>
      <c r="BQ134" s="850">
        <f>SUM([1]CPU!H2052,[1]CPU!H2056)</f>
        <v>1.1043801486833069</v>
      </c>
      <c r="BR134" s="851"/>
      <c r="BS134" s="848">
        <f>[1]CPU!$H$2016*[1]CPU!$H$2046/30*BQ134</f>
        <v>3003.9140044185947</v>
      </c>
      <c r="BT134" s="848"/>
      <c r="BU134" s="848"/>
      <c r="BV134" s="849"/>
      <c r="BW134" s="852"/>
      <c r="BX134" s="845"/>
      <c r="BY134" s="845"/>
      <c r="BZ134" s="845"/>
      <c r="CA134" s="845"/>
      <c r="CB134" s="846"/>
    </row>
    <row r="135" spans="2:80" ht="16.5">
      <c r="B135" s="529"/>
      <c r="C135" s="536"/>
      <c r="D135" s="530"/>
      <c r="E135" s="530"/>
      <c r="F135" s="537" t="s">
        <v>171</v>
      </c>
      <c r="G135" s="538">
        <f>[1]CPU!H2246</f>
        <v>3965387.16</v>
      </c>
      <c r="H135" s="523"/>
      <c r="I135" s="522"/>
      <c r="J135" s="523"/>
      <c r="K135" s="523"/>
      <c r="L135" s="523"/>
      <c r="M135" s="523"/>
      <c r="N135" s="524"/>
      <c r="O135" s="844"/>
      <c r="P135" s="845"/>
      <c r="Q135" s="845"/>
      <c r="R135" s="845"/>
      <c r="S135" s="845"/>
      <c r="T135" s="846"/>
      <c r="U135" s="844"/>
      <c r="V135" s="845"/>
      <c r="W135" s="845"/>
      <c r="X135" s="845"/>
      <c r="Y135" s="845"/>
      <c r="Z135" s="846"/>
      <c r="AA135" s="844"/>
      <c r="AB135" s="845"/>
      <c r="AC135" s="845"/>
      <c r="AD135" s="845"/>
      <c r="AE135" s="845"/>
      <c r="AF135" s="846"/>
      <c r="AG135" s="844"/>
      <c r="AH135" s="845"/>
      <c r="AI135" s="845"/>
      <c r="AJ135" s="845"/>
      <c r="AK135" s="845"/>
      <c r="AL135" s="846"/>
      <c r="AM135" s="844"/>
      <c r="AN135" s="845"/>
      <c r="AO135" s="845"/>
      <c r="AP135" s="845"/>
      <c r="AQ135" s="845"/>
      <c r="AR135" s="846"/>
      <c r="AS135" s="844"/>
      <c r="AT135" s="845"/>
      <c r="AU135" s="845"/>
      <c r="AV135" s="845"/>
      <c r="AW135" s="845"/>
      <c r="AX135" s="846"/>
      <c r="AY135" s="844"/>
      <c r="AZ135" s="845"/>
      <c r="BA135" s="845"/>
      <c r="BB135" s="845"/>
      <c r="BC135" s="845"/>
      <c r="BD135" s="846"/>
      <c r="BE135" s="844">
        <f>SUM(BG133:BJ134)*[1]CPU!$H$2241</f>
        <v>505170.1480054991</v>
      </c>
      <c r="BF135" s="845"/>
      <c r="BG135" s="845"/>
      <c r="BH135" s="845"/>
      <c r="BI135" s="845"/>
      <c r="BJ135" s="846"/>
      <c r="BK135" s="844">
        <f>SUM(BM133:BP134)*[1]CPU!$H$2241</f>
        <v>2892720</v>
      </c>
      <c r="BL135" s="845"/>
      <c r="BM135" s="845"/>
      <c r="BN135" s="845"/>
      <c r="BO135" s="845"/>
      <c r="BP135" s="846"/>
      <c r="BQ135" s="844">
        <f>SUM(BS133:BV134)*[1]CPU!$H$2241</f>
        <v>567497.00945113983</v>
      </c>
      <c r="BR135" s="845"/>
      <c r="BS135" s="845"/>
      <c r="BT135" s="845"/>
      <c r="BU135" s="845"/>
      <c r="BV135" s="846"/>
      <c r="BW135" s="522"/>
      <c r="BX135" s="523"/>
      <c r="BY135" s="523"/>
      <c r="BZ135" s="523"/>
      <c r="CA135" s="523"/>
      <c r="CB135" s="524"/>
    </row>
    <row r="136" spans="2:80" ht="17.25" thickBot="1">
      <c r="B136" s="531"/>
      <c r="C136" s="516"/>
      <c r="D136" s="847"/>
      <c r="E136" s="847"/>
      <c r="F136" s="656"/>
      <c r="G136" s="674"/>
      <c r="H136" s="503"/>
      <c r="I136" s="526"/>
      <c r="J136" s="512"/>
      <c r="K136" s="512"/>
      <c r="L136" s="512"/>
      <c r="M136" s="512"/>
      <c r="N136" s="513"/>
      <c r="O136" s="675"/>
      <c r="P136" s="674"/>
      <c r="Q136" s="674"/>
      <c r="R136" s="674"/>
      <c r="S136" s="674"/>
      <c r="T136" s="676"/>
      <c r="U136" s="675"/>
      <c r="V136" s="674"/>
      <c r="W136" s="674"/>
      <c r="X136" s="674"/>
      <c r="Y136" s="674"/>
      <c r="Z136" s="676"/>
      <c r="AA136" s="675"/>
      <c r="AB136" s="674"/>
      <c r="AC136" s="674"/>
      <c r="AD136" s="674"/>
      <c r="AE136" s="674"/>
      <c r="AF136" s="676"/>
      <c r="AG136" s="675"/>
      <c r="AH136" s="674"/>
      <c r="AI136" s="674"/>
      <c r="AJ136" s="674"/>
      <c r="AK136" s="674"/>
      <c r="AL136" s="676"/>
      <c r="AM136" s="526"/>
      <c r="AN136" s="512"/>
      <c r="AO136" s="512"/>
      <c r="AP136" s="512"/>
      <c r="AQ136" s="512"/>
      <c r="AR136" s="513"/>
      <c r="AS136" s="512"/>
      <c r="AT136" s="512"/>
      <c r="AU136" s="512"/>
      <c r="AV136" s="512"/>
      <c r="AW136" s="512"/>
      <c r="AX136" s="513"/>
      <c r="AY136" s="526"/>
      <c r="AZ136" s="512"/>
      <c r="BA136" s="512"/>
      <c r="BB136" s="512"/>
      <c r="BC136" s="512"/>
      <c r="BD136" s="513"/>
      <c r="BE136" s="526"/>
      <c r="BF136" s="512"/>
      <c r="BG136" s="512"/>
      <c r="BH136" s="512"/>
      <c r="BI136" s="512"/>
      <c r="BJ136" s="513"/>
      <c r="BK136" s="526"/>
      <c r="BL136" s="512"/>
      <c r="BM136" s="512"/>
      <c r="BN136" s="512"/>
      <c r="BO136" s="512"/>
      <c r="BP136" s="513"/>
      <c r="BQ136" s="512"/>
      <c r="BR136" s="512"/>
      <c r="BS136" s="512"/>
      <c r="BT136" s="512"/>
      <c r="BU136" s="512"/>
      <c r="BV136" s="513"/>
      <c r="BW136" s="526"/>
      <c r="BX136" s="512"/>
      <c r="BY136" s="512"/>
      <c r="BZ136" s="512"/>
      <c r="CA136" s="512"/>
      <c r="CB136" s="513"/>
    </row>
    <row r="137" spans="2:80" ht="18" thickTop="1" thickBot="1">
      <c r="B137" s="508"/>
      <c r="C137" s="509"/>
      <c r="D137" s="509"/>
      <c r="E137" s="509"/>
      <c r="F137" s="509"/>
      <c r="G137" s="509"/>
      <c r="H137" s="509"/>
      <c r="I137" s="508"/>
      <c r="J137" s="509"/>
      <c r="K137" s="509"/>
      <c r="L137" s="509"/>
      <c r="M137" s="509"/>
      <c r="N137" s="510"/>
      <c r="O137" s="508"/>
      <c r="P137" s="509"/>
      <c r="Q137" s="509"/>
      <c r="R137" s="509"/>
      <c r="S137" s="509"/>
      <c r="T137" s="510"/>
      <c r="U137" s="508"/>
      <c r="V137" s="509"/>
      <c r="W137" s="509"/>
      <c r="X137" s="509"/>
      <c r="Y137" s="509"/>
      <c r="Z137" s="510"/>
      <c r="AA137" s="508"/>
      <c r="AB137" s="509"/>
      <c r="AC137" s="509"/>
      <c r="AD137" s="509"/>
      <c r="AE137" s="509"/>
      <c r="AF137" s="510"/>
      <c r="AG137" s="508"/>
      <c r="AH137" s="509"/>
      <c r="AI137" s="509"/>
      <c r="AJ137" s="509"/>
      <c r="AK137" s="509"/>
      <c r="AL137" s="510"/>
      <c r="AM137" s="508"/>
      <c r="AN137" s="509"/>
      <c r="AO137" s="509"/>
      <c r="AP137" s="509"/>
      <c r="AQ137" s="509"/>
      <c r="AR137" s="510"/>
      <c r="AS137" s="509"/>
      <c r="AT137" s="509"/>
      <c r="AU137" s="509"/>
      <c r="AV137" s="509"/>
      <c r="AW137" s="509"/>
      <c r="AX137" s="510"/>
      <c r="AY137" s="508"/>
      <c r="AZ137" s="509"/>
      <c r="BA137" s="509"/>
      <c r="BB137" s="509"/>
      <c r="BC137" s="509"/>
      <c r="BD137" s="510"/>
      <c r="BE137" s="508"/>
      <c r="BF137" s="509"/>
      <c r="BG137" s="509"/>
      <c r="BH137" s="509"/>
      <c r="BI137" s="509"/>
      <c r="BJ137" s="510"/>
      <c r="BK137" s="508"/>
      <c r="BL137" s="509"/>
      <c r="BM137" s="509"/>
      <c r="BN137" s="509"/>
      <c r="BO137" s="509"/>
      <c r="BP137" s="510"/>
      <c r="BQ137" s="508"/>
      <c r="BR137" s="509"/>
      <c r="BS137" s="509"/>
      <c r="BT137" s="509"/>
      <c r="BU137" s="509"/>
      <c r="BV137" s="510"/>
      <c r="BW137" s="508"/>
      <c r="BX137" s="509"/>
      <c r="BY137" s="509"/>
      <c r="BZ137" s="509"/>
      <c r="CA137" s="509"/>
      <c r="CB137" s="510"/>
    </row>
  </sheetData>
  <mergeCells count="1041">
    <mergeCell ref="BW5:CB5"/>
    <mergeCell ref="BW11:CB11"/>
    <mergeCell ref="I11:N11"/>
    <mergeCell ref="O11:T11"/>
    <mergeCell ref="U11:Z11"/>
    <mergeCell ref="AA11:AF11"/>
    <mergeCell ref="AG11:AL11"/>
    <mergeCell ref="AM11:AR11"/>
    <mergeCell ref="AS5:AX5"/>
    <mergeCell ref="AS11:AX11"/>
    <mergeCell ref="AY11:BD11"/>
    <mergeCell ref="BE11:BJ11"/>
    <mergeCell ref="BK11:BP11"/>
    <mergeCell ref="BQ11:BV11"/>
    <mergeCell ref="AY5:BD5"/>
    <mergeCell ref="BE5:BJ5"/>
    <mergeCell ref="BK5:BP5"/>
    <mergeCell ref="BQ5:BV5"/>
    <mergeCell ref="D10:E10"/>
    <mergeCell ref="B2:CB2"/>
    <mergeCell ref="B3:CB3"/>
    <mergeCell ref="B5:C5"/>
    <mergeCell ref="I5:N5"/>
    <mergeCell ref="O5:T5"/>
    <mergeCell ref="U5:Z5"/>
    <mergeCell ref="AA5:AF5"/>
    <mergeCell ref="AG5:AL5"/>
    <mergeCell ref="AM5:AR5"/>
    <mergeCell ref="I12:N12"/>
    <mergeCell ref="O12:T12"/>
    <mergeCell ref="U12:Z12"/>
    <mergeCell ref="AA12:AF12"/>
    <mergeCell ref="AG12:AL12"/>
    <mergeCell ref="AM12:AR12"/>
    <mergeCell ref="AS12:AX12"/>
    <mergeCell ref="AY12:BD12"/>
    <mergeCell ref="BE12:BJ12"/>
    <mergeCell ref="BK12:BP12"/>
    <mergeCell ref="BQ12:BV12"/>
    <mergeCell ref="BW12:CB12"/>
    <mergeCell ref="BQ14:BV14"/>
    <mergeCell ref="D13:E13"/>
    <mergeCell ref="U13:Z13"/>
    <mergeCell ref="I14:N14"/>
    <mergeCell ref="O14:T14"/>
    <mergeCell ref="U14:Z14"/>
    <mergeCell ref="AA14:AF14"/>
    <mergeCell ref="AY15:BD15"/>
    <mergeCell ref="AM14:AR14"/>
    <mergeCell ref="AS14:AX14"/>
    <mergeCell ref="AY14:BD14"/>
    <mergeCell ref="BE14:BJ14"/>
    <mergeCell ref="BK14:BP14"/>
    <mergeCell ref="AG17:AL17"/>
    <mergeCell ref="BW14:CB14"/>
    <mergeCell ref="D15:E15"/>
    <mergeCell ref="I15:N15"/>
    <mergeCell ref="O15:T15"/>
    <mergeCell ref="U15:Z15"/>
    <mergeCell ref="AA15:AF15"/>
    <mergeCell ref="AG15:AL15"/>
    <mergeCell ref="AM15:AR15"/>
    <mergeCell ref="AS15:AX15"/>
    <mergeCell ref="BQ17:BV17"/>
    <mergeCell ref="BE15:BJ15"/>
    <mergeCell ref="BK15:BP15"/>
    <mergeCell ref="BQ15:BV15"/>
    <mergeCell ref="BW15:CB15"/>
    <mergeCell ref="D17:E17"/>
    <mergeCell ref="I17:N17"/>
    <mergeCell ref="O17:T17"/>
    <mergeCell ref="U17:Z17"/>
    <mergeCell ref="AA17:AF17"/>
    <mergeCell ref="BE18:BJ18"/>
    <mergeCell ref="AM17:AR17"/>
    <mergeCell ref="AS17:AX17"/>
    <mergeCell ref="AY17:BD17"/>
    <mergeCell ref="BE17:BJ17"/>
    <mergeCell ref="BK17:BP17"/>
    <mergeCell ref="AG24:AL24"/>
    <mergeCell ref="BW17:CB17"/>
    <mergeCell ref="I18:N18"/>
    <mergeCell ref="O18:T18"/>
    <mergeCell ref="U18:Z18"/>
    <mergeCell ref="AA18:AF18"/>
    <mergeCell ref="AG18:AL18"/>
    <mergeCell ref="AM18:AR18"/>
    <mergeCell ref="AS18:AX18"/>
    <mergeCell ref="AY18:BD18"/>
    <mergeCell ref="BQ24:BV24"/>
    <mergeCell ref="BK18:BP18"/>
    <mergeCell ref="BQ18:BV18"/>
    <mergeCell ref="BW18:CB18"/>
    <mergeCell ref="C21:E21"/>
    <mergeCell ref="D23:E23"/>
    <mergeCell ref="I24:N24"/>
    <mergeCell ref="O24:T24"/>
    <mergeCell ref="U24:Z24"/>
    <mergeCell ref="AA24:AF24"/>
    <mergeCell ref="BE25:BJ25"/>
    <mergeCell ref="AM24:AR24"/>
    <mergeCell ref="AS24:AX24"/>
    <mergeCell ref="AY24:BD24"/>
    <mergeCell ref="BE24:BJ24"/>
    <mergeCell ref="BK24:BP24"/>
    <mergeCell ref="AG28:AL28"/>
    <mergeCell ref="BW24:CB24"/>
    <mergeCell ref="I25:N25"/>
    <mergeCell ref="O25:T25"/>
    <mergeCell ref="U25:Z25"/>
    <mergeCell ref="AA25:AF25"/>
    <mergeCell ref="AG25:AL25"/>
    <mergeCell ref="AM25:AR25"/>
    <mergeCell ref="AS25:AX25"/>
    <mergeCell ref="AY25:BD25"/>
    <mergeCell ref="D26:E26"/>
    <mergeCell ref="D27:E27"/>
    <mergeCell ref="I28:N28"/>
    <mergeCell ref="O28:T28"/>
    <mergeCell ref="U28:Z28"/>
    <mergeCell ref="AA28:AF28"/>
    <mergeCell ref="BQ28:BV28"/>
    <mergeCell ref="BW32:CB32"/>
    <mergeCell ref="BW29:CB29"/>
    <mergeCell ref="BK25:BP25"/>
    <mergeCell ref="BQ25:BV25"/>
    <mergeCell ref="BW25:CB25"/>
    <mergeCell ref="BK32:BP32"/>
    <mergeCell ref="BQ32:BV32"/>
    <mergeCell ref="BQ29:BV29"/>
    <mergeCell ref="AY29:BD29"/>
    <mergeCell ref="AM28:AR28"/>
    <mergeCell ref="AS28:AX28"/>
    <mergeCell ref="AY28:BD28"/>
    <mergeCell ref="BE28:BJ28"/>
    <mergeCell ref="BK28:BP28"/>
    <mergeCell ref="BE29:BJ29"/>
    <mergeCell ref="BK29:BP29"/>
    <mergeCell ref="AG32:AL32"/>
    <mergeCell ref="BW28:CB28"/>
    <mergeCell ref="D29:E29"/>
    <mergeCell ref="I29:N29"/>
    <mergeCell ref="O29:T29"/>
    <mergeCell ref="U29:Z29"/>
    <mergeCell ref="AA29:AF29"/>
    <mergeCell ref="AG29:AL29"/>
    <mergeCell ref="AM29:AR29"/>
    <mergeCell ref="AS29:AX29"/>
    <mergeCell ref="D31:E31"/>
    <mergeCell ref="I32:N32"/>
    <mergeCell ref="O32:T32"/>
    <mergeCell ref="U32:Z32"/>
    <mergeCell ref="AA32:AF32"/>
    <mergeCell ref="AS33:AX33"/>
    <mergeCell ref="I33:N33"/>
    <mergeCell ref="O33:T33"/>
    <mergeCell ref="U33:Z33"/>
    <mergeCell ref="AA33:AF33"/>
    <mergeCell ref="AY33:BD33"/>
    <mergeCell ref="BE33:BJ33"/>
    <mergeCell ref="AM32:AR32"/>
    <mergeCell ref="AS32:AX32"/>
    <mergeCell ref="AY32:BD32"/>
    <mergeCell ref="BE32:BJ32"/>
    <mergeCell ref="AG33:AL33"/>
    <mergeCell ref="AM33:AR33"/>
    <mergeCell ref="BK33:BP33"/>
    <mergeCell ref="BQ33:BV33"/>
    <mergeCell ref="BW33:CB33"/>
    <mergeCell ref="D34:E34"/>
    <mergeCell ref="I34:N34"/>
    <mergeCell ref="O34:T34"/>
    <mergeCell ref="U34:Z34"/>
    <mergeCell ref="AA34:AF34"/>
    <mergeCell ref="AG34:AL34"/>
    <mergeCell ref="AM34:AR34"/>
    <mergeCell ref="AS34:AX34"/>
    <mergeCell ref="AY34:BD34"/>
    <mergeCell ref="BE34:BJ34"/>
    <mergeCell ref="BK34:BP34"/>
    <mergeCell ref="BQ34:BV34"/>
    <mergeCell ref="BW34:CB34"/>
    <mergeCell ref="C37:E37"/>
    <mergeCell ref="D39:E39"/>
    <mergeCell ref="I40:N40"/>
    <mergeCell ref="O40:T40"/>
    <mergeCell ref="U40:Z40"/>
    <mergeCell ref="AA40:AF40"/>
    <mergeCell ref="AG40:AL40"/>
    <mergeCell ref="AM40:AR40"/>
    <mergeCell ref="AS40:AX40"/>
    <mergeCell ref="AY40:BD40"/>
    <mergeCell ref="BE40:BJ40"/>
    <mergeCell ref="BK40:BP40"/>
    <mergeCell ref="BQ40:BV40"/>
    <mergeCell ref="BW40:CB40"/>
    <mergeCell ref="I41:N41"/>
    <mergeCell ref="O41:T41"/>
    <mergeCell ref="U41:Z41"/>
    <mergeCell ref="AA41:AF41"/>
    <mergeCell ref="AG41:AL41"/>
    <mergeCell ref="AM41:AR41"/>
    <mergeCell ref="AS41:AX41"/>
    <mergeCell ref="AY41:BD41"/>
    <mergeCell ref="BE41:BJ41"/>
    <mergeCell ref="BK41:BP41"/>
    <mergeCell ref="BQ41:BV41"/>
    <mergeCell ref="BW41:CB41"/>
    <mergeCell ref="D42:E42"/>
    <mergeCell ref="I43:N43"/>
    <mergeCell ref="O43:T43"/>
    <mergeCell ref="U43:Z43"/>
    <mergeCell ref="AA43:AF43"/>
    <mergeCell ref="AG43:AL43"/>
    <mergeCell ref="AM43:AR43"/>
    <mergeCell ref="AS43:AX43"/>
    <mergeCell ref="AY43:BD43"/>
    <mergeCell ref="BE43:BJ43"/>
    <mergeCell ref="BK43:BP43"/>
    <mergeCell ref="BQ43:BV43"/>
    <mergeCell ref="BW43:CB43"/>
    <mergeCell ref="I44:N44"/>
    <mergeCell ref="O44:T44"/>
    <mergeCell ref="U44:Z44"/>
    <mergeCell ref="AA44:AF44"/>
    <mergeCell ref="AG44:AL44"/>
    <mergeCell ref="AM44:AR44"/>
    <mergeCell ref="AS44:AX44"/>
    <mergeCell ref="AY44:BD44"/>
    <mergeCell ref="BE44:BJ44"/>
    <mergeCell ref="BK44:BP44"/>
    <mergeCell ref="BQ44:BV44"/>
    <mergeCell ref="BW44:CB44"/>
    <mergeCell ref="D45:E45"/>
    <mergeCell ref="I46:N46"/>
    <mergeCell ref="O46:T46"/>
    <mergeCell ref="U46:Z46"/>
    <mergeCell ref="AA46:AF46"/>
    <mergeCell ref="AG46:AL46"/>
    <mergeCell ref="AM46:AR46"/>
    <mergeCell ref="AS46:AX46"/>
    <mergeCell ref="AY46:BD46"/>
    <mergeCell ref="BE46:BJ46"/>
    <mergeCell ref="BK46:BP46"/>
    <mergeCell ref="BQ46:BV46"/>
    <mergeCell ref="BW46:CB46"/>
    <mergeCell ref="I47:N47"/>
    <mergeCell ref="O47:T47"/>
    <mergeCell ref="U47:Z47"/>
    <mergeCell ref="AA47:AF47"/>
    <mergeCell ref="AG47:AL47"/>
    <mergeCell ref="AM47:AR47"/>
    <mergeCell ref="AS47:AX47"/>
    <mergeCell ref="AY47:BD47"/>
    <mergeCell ref="BE47:BJ47"/>
    <mergeCell ref="BK47:BP47"/>
    <mergeCell ref="BQ47:BV47"/>
    <mergeCell ref="BW47:CB47"/>
    <mergeCell ref="AY48:BC48"/>
    <mergeCell ref="U49:Z49"/>
    <mergeCell ref="C51:E51"/>
    <mergeCell ref="I51:N51"/>
    <mergeCell ref="O51:T51"/>
    <mergeCell ref="U51:Z51"/>
    <mergeCell ref="AA51:AF51"/>
    <mergeCell ref="AG51:AL51"/>
    <mergeCell ref="AM51:AR51"/>
    <mergeCell ref="AS51:AX51"/>
    <mergeCell ref="AY51:BD51"/>
    <mergeCell ref="BE51:BJ51"/>
    <mergeCell ref="BK51:BP51"/>
    <mergeCell ref="BQ51:BV51"/>
    <mergeCell ref="BW51:CB51"/>
    <mergeCell ref="D53:E53"/>
    <mergeCell ref="I53:N53"/>
    <mergeCell ref="O53:T53"/>
    <mergeCell ref="U53:Z53"/>
    <mergeCell ref="AA53:AF53"/>
    <mergeCell ref="AG53:AL53"/>
    <mergeCell ref="AM53:AR53"/>
    <mergeCell ref="AS53:AX53"/>
    <mergeCell ref="AY53:BD53"/>
    <mergeCell ref="BE53:BJ53"/>
    <mergeCell ref="BK53:BP53"/>
    <mergeCell ref="BQ53:BV53"/>
    <mergeCell ref="BW53:CB53"/>
    <mergeCell ref="I54:N54"/>
    <mergeCell ref="O54:T54"/>
    <mergeCell ref="U54:Z54"/>
    <mergeCell ref="AA54:AF54"/>
    <mergeCell ref="AG54:AL54"/>
    <mergeCell ref="AM54:AR54"/>
    <mergeCell ref="AS54:AX54"/>
    <mergeCell ref="AY54:BD54"/>
    <mergeCell ref="BE54:BJ54"/>
    <mergeCell ref="BK54:BP54"/>
    <mergeCell ref="BQ54:BV54"/>
    <mergeCell ref="BW54:CB54"/>
    <mergeCell ref="I55:N55"/>
    <mergeCell ref="O55:T55"/>
    <mergeCell ref="U55:Z55"/>
    <mergeCell ref="AA55:AF55"/>
    <mergeCell ref="AG55:AL55"/>
    <mergeCell ref="AM55:AR55"/>
    <mergeCell ref="AS55:AX55"/>
    <mergeCell ref="AY55:BD55"/>
    <mergeCell ref="BE55:BJ55"/>
    <mergeCell ref="BK55:BP55"/>
    <mergeCell ref="BQ55:BV55"/>
    <mergeCell ref="BW55:CB55"/>
    <mergeCell ref="I56:N56"/>
    <mergeCell ref="O56:T56"/>
    <mergeCell ref="U56:Z56"/>
    <mergeCell ref="AA56:AF56"/>
    <mergeCell ref="AG56:AL56"/>
    <mergeCell ref="AM56:AR56"/>
    <mergeCell ref="AS56:AX56"/>
    <mergeCell ref="AY56:BD56"/>
    <mergeCell ref="BE56:BJ56"/>
    <mergeCell ref="BK56:BP56"/>
    <mergeCell ref="BQ56:BV56"/>
    <mergeCell ref="BW56:CB56"/>
    <mergeCell ref="D58:E58"/>
    <mergeCell ref="I58:N58"/>
    <mergeCell ref="O58:T58"/>
    <mergeCell ref="U58:Z58"/>
    <mergeCell ref="AA58:AF58"/>
    <mergeCell ref="AG58:AL58"/>
    <mergeCell ref="AM58:AR58"/>
    <mergeCell ref="AS58:AX58"/>
    <mergeCell ref="AY58:BD58"/>
    <mergeCell ref="BE58:BJ58"/>
    <mergeCell ref="BK58:BP58"/>
    <mergeCell ref="BQ58:BV58"/>
    <mergeCell ref="BW58:CB58"/>
    <mergeCell ref="I59:N59"/>
    <mergeCell ref="O59:T59"/>
    <mergeCell ref="U59:Z59"/>
    <mergeCell ref="AA59:AF59"/>
    <mergeCell ref="AG59:AL59"/>
    <mergeCell ref="AM59:AR59"/>
    <mergeCell ref="AS59:AX59"/>
    <mergeCell ref="AY59:BD59"/>
    <mergeCell ref="BE59:BJ59"/>
    <mergeCell ref="BK59:BP59"/>
    <mergeCell ref="BQ59:BV59"/>
    <mergeCell ref="BW59:CB59"/>
    <mergeCell ref="I60:N60"/>
    <mergeCell ref="O60:T60"/>
    <mergeCell ref="U60:Z60"/>
    <mergeCell ref="AA60:AF60"/>
    <mergeCell ref="AG60:AL60"/>
    <mergeCell ref="AM60:AR60"/>
    <mergeCell ref="AS60:AX60"/>
    <mergeCell ref="BW60:CB60"/>
    <mergeCell ref="I61:N61"/>
    <mergeCell ref="O61:T61"/>
    <mergeCell ref="U61:Z61"/>
    <mergeCell ref="AA61:AF61"/>
    <mergeCell ref="AG61:AL61"/>
    <mergeCell ref="BK61:BP61"/>
    <mergeCell ref="BQ61:BV61"/>
    <mergeCell ref="AY60:BD60"/>
    <mergeCell ref="BE60:BJ60"/>
    <mergeCell ref="BK60:BP60"/>
    <mergeCell ref="BQ60:BV60"/>
    <mergeCell ref="AA74:AF74"/>
    <mergeCell ref="AG74:AL74"/>
    <mergeCell ref="AM61:AR61"/>
    <mergeCell ref="AS61:AX61"/>
    <mergeCell ref="AY61:BD61"/>
    <mergeCell ref="BE61:BJ61"/>
    <mergeCell ref="BK74:BP74"/>
    <mergeCell ref="BQ74:BV74"/>
    <mergeCell ref="BW61:CB61"/>
    <mergeCell ref="B62:AF62"/>
    <mergeCell ref="B71:CB71"/>
    <mergeCell ref="B72:CB72"/>
    <mergeCell ref="B74:C74"/>
    <mergeCell ref="I74:N74"/>
    <mergeCell ref="O74:T74"/>
    <mergeCell ref="U74:Z74"/>
    <mergeCell ref="BW74:CB74"/>
    <mergeCell ref="AS74:AX74"/>
    <mergeCell ref="C77:E77"/>
    <mergeCell ref="U78:Z78"/>
    <mergeCell ref="AA78:AF78"/>
    <mergeCell ref="AG78:AL78"/>
    <mergeCell ref="AM78:AR78"/>
    <mergeCell ref="AM74:AR74"/>
    <mergeCell ref="AY74:BD74"/>
    <mergeCell ref="BE74:BJ74"/>
    <mergeCell ref="D79:E79"/>
    <mergeCell ref="I81:N81"/>
    <mergeCell ref="O81:P81"/>
    <mergeCell ref="Q81:T81"/>
    <mergeCell ref="U81:V81"/>
    <mergeCell ref="W81:Z81"/>
    <mergeCell ref="AA81:AB81"/>
    <mergeCell ref="AC81:AF81"/>
    <mergeCell ref="AG81:AH81"/>
    <mergeCell ref="AI81:AL81"/>
    <mergeCell ref="AM81:AN81"/>
    <mergeCell ref="AO81:AR81"/>
    <mergeCell ref="AS81:AT81"/>
    <mergeCell ref="AU81:AX81"/>
    <mergeCell ref="AY81:AZ81"/>
    <mergeCell ref="BA81:BD81"/>
    <mergeCell ref="BE81:BF81"/>
    <mergeCell ref="BG81:BJ81"/>
    <mergeCell ref="BK81:BL81"/>
    <mergeCell ref="BM81:BP81"/>
    <mergeCell ref="BQ81:BR81"/>
    <mergeCell ref="BS81:BV81"/>
    <mergeCell ref="BW81:CB81"/>
    <mergeCell ref="I82:N82"/>
    <mergeCell ref="O82:P82"/>
    <mergeCell ref="Q82:T82"/>
    <mergeCell ref="U82:V82"/>
    <mergeCell ref="W82:Z82"/>
    <mergeCell ref="AA82:AB82"/>
    <mergeCell ref="AC82:AF82"/>
    <mergeCell ref="AG82:AH82"/>
    <mergeCell ref="AI82:AL82"/>
    <mergeCell ref="AM82:AN82"/>
    <mergeCell ref="AO82:AR82"/>
    <mergeCell ref="AS82:AT82"/>
    <mergeCell ref="AU82:AX82"/>
    <mergeCell ref="AY82:AZ82"/>
    <mergeCell ref="BA82:BD82"/>
    <mergeCell ref="BE82:BF82"/>
    <mergeCell ref="BG82:BJ82"/>
    <mergeCell ref="BK82:BL82"/>
    <mergeCell ref="BM82:BP82"/>
    <mergeCell ref="BQ82:BR82"/>
    <mergeCell ref="BS82:BV82"/>
    <mergeCell ref="BW82:CB82"/>
    <mergeCell ref="I83:N83"/>
    <mergeCell ref="O83:T83"/>
    <mergeCell ref="U83:Z83"/>
    <mergeCell ref="AA83:AF83"/>
    <mergeCell ref="AG83:AL83"/>
    <mergeCell ref="AM83:AR83"/>
    <mergeCell ref="AS83:AX83"/>
    <mergeCell ref="AY83:BD83"/>
    <mergeCell ref="BE83:BJ83"/>
    <mergeCell ref="BK83:BP83"/>
    <mergeCell ref="BQ83:BV83"/>
    <mergeCell ref="BW87:CB87"/>
    <mergeCell ref="BW83:CB83"/>
    <mergeCell ref="BK86:BL86"/>
    <mergeCell ref="BM86:BP86"/>
    <mergeCell ref="BQ86:BR86"/>
    <mergeCell ref="BS86:BV86"/>
    <mergeCell ref="D84:E84"/>
    <mergeCell ref="BK84:BL84"/>
    <mergeCell ref="BM84:BP84"/>
    <mergeCell ref="BQ84:BV84"/>
    <mergeCell ref="O85:P85"/>
    <mergeCell ref="Q85:T85"/>
    <mergeCell ref="AG85:AH85"/>
    <mergeCell ref="AI85:AL85"/>
    <mergeCell ref="AM86:AN86"/>
    <mergeCell ref="AO86:AR86"/>
    <mergeCell ref="AS86:AT86"/>
    <mergeCell ref="I86:N86"/>
    <mergeCell ref="O86:P86"/>
    <mergeCell ref="Q86:T86"/>
    <mergeCell ref="U86:V86"/>
    <mergeCell ref="W86:Z86"/>
    <mergeCell ref="AA86:AB86"/>
    <mergeCell ref="AA87:AB87"/>
    <mergeCell ref="AU86:AX86"/>
    <mergeCell ref="AY86:AZ86"/>
    <mergeCell ref="BA86:BD86"/>
    <mergeCell ref="BE86:BF86"/>
    <mergeCell ref="BG86:BJ86"/>
    <mergeCell ref="AS87:AT87"/>
    <mergeCell ref="AC86:AF86"/>
    <mergeCell ref="AG86:AH86"/>
    <mergeCell ref="AI86:AL86"/>
    <mergeCell ref="BW86:CB86"/>
    <mergeCell ref="I87:N87"/>
    <mergeCell ref="O87:P87"/>
    <mergeCell ref="Q87:T87"/>
    <mergeCell ref="U87:V87"/>
    <mergeCell ref="W87:Z87"/>
    <mergeCell ref="AY87:AZ87"/>
    <mergeCell ref="BA87:BD87"/>
    <mergeCell ref="BE87:BF87"/>
    <mergeCell ref="BG87:BJ87"/>
    <mergeCell ref="BK87:BL87"/>
    <mergeCell ref="AC87:AF87"/>
    <mergeCell ref="AG87:AH87"/>
    <mergeCell ref="AI87:AL87"/>
    <mergeCell ref="AM87:AN87"/>
    <mergeCell ref="AO87:AR87"/>
    <mergeCell ref="BM87:BP87"/>
    <mergeCell ref="BQ87:BR87"/>
    <mergeCell ref="BS87:BV87"/>
    <mergeCell ref="I88:N88"/>
    <mergeCell ref="O88:T88"/>
    <mergeCell ref="U88:Z88"/>
    <mergeCell ref="AA88:AF88"/>
    <mergeCell ref="AG88:AL88"/>
    <mergeCell ref="AM88:AR88"/>
    <mergeCell ref="AU87:AX87"/>
    <mergeCell ref="AS88:AX88"/>
    <mergeCell ref="AY88:BD88"/>
    <mergeCell ref="BE88:BJ88"/>
    <mergeCell ref="BK88:BP88"/>
    <mergeCell ref="BQ88:BV88"/>
    <mergeCell ref="D89:E89"/>
    <mergeCell ref="O90:P90"/>
    <mergeCell ref="Q90:T90"/>
    <mergeCell ref="U90:V90"/>
    <mergeCell ref="W90:Z90"/>
    <mergeCell ref="I91:N91"/>
    <mergeCell ref="O91:P91"/>
    <mergeCell ref="Q91:T91"/>
    <mergeCell ref="U91:V91"/>
    <mergeCell ref="W91:Z91"/>
    <mergeCell ref="AA91:AB91"/>
    <mergeCell ref="AC91:AF91"/>
    <mergeCell ref="AG91:AH91"/>
    <mergeCell ref="AI91:AL91"/>
    <mergeCell ref="AM91:AN91"/>
    <mergeCell ref="AO91:AR91"/>
    <mergeCell ref="AS91:AT91"/>
    <mergeCell ref="AU91:AX91"/>
    <mergeCell ref="AY91:AZ91"/>
    <mergeCell ref="BA91:BD91"/>
    <mergeCell ref="BE91:BF91"/>
    <mergeCell ref="BG91:BJ91"/>
    <mergeCell ref="BK91:BL91"/>
    <mergeCell ref="BM91:BP91"/>
    <mergeCell ref="BQ91:BR91"/>
    <mergeCell ref="BS91:BV91"/>
    <mergeCell ref="BW91:CB91"/>
    <mergeCell ref="I92:N92"/>
    <mergeCell ref="O92:P92"/>
    <mergeCell ref="Q92:T92"/>
    <mergeCell ref="U92:V92"/>
    <mergeCell ref="W92:Z92"/>
    <mergeCell ref="AA92:AB92"/>
    <mergeCell ref="AC92:AF92"/>
    <mergeCell ref="AG92:AH92"/>
    <mergeCell ref="AI92:AL92"/>
    <mergeCell ref="AM92:AN92"/>
    <mergeCell ref="AO92:AR92"/>
    <mergeCell ref="AS92:AT92"/>
    <mergeCell ref="AU92:AX92"/>
    <mergeCell ref="AY92:AZ92"/>
    <mergeCell ref="BA92:BD92"/>
    <mergeCell ref="BE92:BF92"/>
    <mergeCell ref="BG92:BJ92"/>
    <mergeCell ref="BK92:BL92"/>
    <mergeCell ref="BM92:BP92"/>
    <mergeCell ref="BQ92:BR92"/>
    <mergeCell ref="BS92:BV92"/>
    <mergeCell ref="BW92:CB92"/>
    <mergeCell ref="I93:N93"/>
    <mergeCell ref="O93:T93"/>
    <mergeCell ref="U93:Z93"/>
    <mergeCell ref="AA93:AF93"/>
    <mergeCell ref="AG93:AL93"/>
    <mergeCell ref="AM93:AR93"/>
    <mergeCell ref="AS93:AX93"/>
    <mergeCell ref="AY93:BD93"/>
    <mergeCell ref="BE93:BJ93"/>
    <mergeCell ref="BK93:BP93"/>
    <mergeCell ref="BQ93:BV93"/>
    <mergeCell ref="D94:E94"/>
    <mergeCell ref="O95:T95"/>
    <mergeCell ref="I96:N96"/>
    <mergeCell ref="O96:P96"/>
    <mergeCell ref="Q96:T96"/>
    <mergeCell ref="U96:V96"/>
    <mergeCell ref="W96:Z96"/>
    <mergeCell ref="AA96:AB96"/>
    <mergeCell ref="AC96:AF96"/>
    <mergeCell ref="AG96:AH96"/>
    <mergeCell ref="AI96:AL96"/>
    <mergeCell ref="AM96:AN96"/>
    <mergeCell ref="AO96:AR96"/>
    <mergeCell ref="AS96:AT96"/>
    <mergeCell ref="AU96:AX96"/>
    <mergeCell ref="AY96:AZ96"/>
    <mergeCell ref="BA96:BD96"/>
    <mergeCell ref="BE96:BF96"/>
    <mergeCell ref="BG96:BJ96"/>
    <mergeCell ref="BK96:BL96"/>
    <mergeCell ref="BM96:BP96"/>
    <mergeCell ref="BQ96:BR96"/>
    <mergeCell ref="BS96:BV96"/>
    <mergeCell ref="BW96:CB96"/>
    <mergeCell ref="I97:N97"/>
    <mergeCell ref="O97:P97"/>
    <mergeCell ref="Q97:T97"/>
    <mergeCell ref="U97:V97"/>
    <mergeCell ref="W97:Z97"/>
    <mergeCell ref="AA97:AB97"/>
    <mergeCell ref="AC97:AF97"/>
    <mergeCell ref="AG97:AH97"/>
    <mergeCell ref="AI97:AL97"/>
    <mergeCell ref="AM97:AN97"/>
    <mergeCell ref="AO97:AR97"/>
    <mergeCell ref="AS97:AT97"/>
    <mergeCell ref="AU97:AX97"/>
    <mergeCell ref="AY97:AZ97"/>
    <mergeCell ref="BA97:BD97"/>
    <mergeCell ref="BE97:BF97"/>
    <mergeCell ref="BG97:BJ97"/>
    <mergeCell ref="BK97:BL97"/>
    <mergeCell ref="BM97:BP97"/>
    <mergeCell ref="BQ97:BR97"/>
    <mergeCell ref="BS97:BV97"/>
    <mergeCell ref="BW97:CB97"/>
    <mergeCell ref="I98:N98"/>
    <mergeCell ref="O98:T98"/>
    <mergeCell ref="U98:Z98"/>
    <mergeCell ref="AA98:AF98"/>
    <mergeCell ref="AG98:AL98"/>
    <mergeCell ref="AM98:AR98"/>
    <mergeCell ref="AS98:AX98"/>
    <mergeCell ref="AY98:BD98"/>
    <mergeCell ref="BE98:BJ98"/>
    <mergeCell ref="BK98:BP98"/>
    <mergeCell ref="BQ98:BV98"/>
    <mergeCell ref="D99:E99"/>
    <mergeCell ref="I101:N101"/>
    <mergeCell ref="O101:P101"/>
    <mergeCell ref="Q101:T101"/>
    <mergeCell ref="U101:V101"/>
    <mergeCell ref="W101:Z101"/>
    <mergeCell ref="AA101:AB101"/>
    <mergeCell ref="AC101:AF101"/>
    <mergeCell ref="AG101:AH101"/>
    <mergeCell ref="AI101:AL101"/>
    <mergeCell ref="AM101:AN101"/>
    <mergeCell ref="AO101:AR101"/>
    <mergeCell ref="AS101:AT101"/>
    <mergeCell ref="AU101:AX101"/>
    <mergeCell ref="AY101:AZ101"/>
    <mergeCell ref="BA101:BD101"/>
    <mergeCell ref="BE101:BF101"/>
    <mergeCell ref="BG101:BJ101"/>
    <mergeCell ref="BK101:BL101"/>
    <mergeCell ref="BM101:BP101"/>
    <mergeCell ref="BQ101:BR101"/>
    <mergeCell ref="BS101:BV101"/>
    <mergeCell ref="I102:N102"/>
    <mergeCell ref="O102:P102"/>
    <mergeCell ref="Q102:T102"/>
    <mergeCell ref="U102:V102"/>
    <mergeCell ref="W102:Z102"/>
    <mergeCell ref="AA102:AB102"/>
    <mergeCell ref="AC102:AF102"/>
    <mergeCell ref="AG102:AH102"/>
    <mergeCell ref="AI102:AL102"/>
    <mergeCell ref="AM102:AN102"/>
    <mergeCell ref="AO102:AR102"/>
    <mergeCell ref="AS102:AT102"/>
    <mergeCell ref="AU102:AX102"/>
    <mergeCell ref="AY102:AZ102"/>
    <mergeCell ref="BA102:BD102"/>
    <mergeCell ref="BE102:BF102"/>
    <mergeCell ref="BG102:BJ102"/>
    <mergeCell ref="BK102:BL102"/>
    <mergeCell ref="BM102:BP102"/>
    <mergeCell ref="BQ102:BR102"/>
    <mergeCell ref="BS102:BV102"/>
    <mergeCell ref="BW102:CB102"/>
    <mergeCell ref="I103:N103"/>
    <mergeCell ref="O103:T103"/>
    <mergeCell ref="U103:Z103"/>
    <mergeCell ref="AA103:AF103"/>
    <mergeCell ref="AG103:AL103"/>
    <mergeCell ref="AM103:AR103"/>
    <mergeCell ref="AS103:AX103"/>
    <mergeCell ref="AY103:BD103"/>
    <mergeCell ref="BE103:BJ103"/>
    <mergeCell ref="BK103:BP103"/>
    <mergeCell ref="BQ103:BV103"/>
    <mergeCell ref="D104:E104"/>
    <mergeCell ref="I106:N106"/>
    <mergeCell ref="O106:P106"/>
    <mergeCell ref="Q106:T106"/>
    <mergeCell ref="U106:V106"/>
    <mergeCell ref="W106:Z106"/>
    <mergeCell ref="AA106:AB106"/>
    <mergeCell ref="AC106:AF106"/>
    <mergeCell ref="AG106:AH106"/>
    <mergeCell ref="AI106:AL106"/>
    <mergeCell ref="AM106:AN106"/>
    <mergeCell ref="AO106:AR106"/>
    <mergeCell ref="AS106:AT106"/>
    <mergeCell ref="AU106:AX106"/>
    <mergeCell ref="AY106:AZ106"/>
    <mergeCell ref="BA106:BD106"/>
    <mergeCell ref="BE106:BF106"/>
    <mergeCell ref="BG106:BJ106"/>
    <mergeCell ref="BK106:BL106"/>
    <mergeCell ref="BM106:BP106"/>
    <mergeCell ref="BQ106:BR106"/>
    <mergeCell ref="BS106:BV106"/>
    <mergeCell ref="BW106:CB106"/>
    <mergeCell ref="I107:N107"/>
    <mergeCell ref="O107:P107"/>
    <mergeCell ref="Q107:T107"/>
    <mergeCell ref="U107:V107"/>
    <mergeCell ref="W107:Z107"/>
    <mergeCell ref="AU107:AX107"/>
    <mergeCell ref="AY107:AZ107"/>
    <mergeCell ref="BA107:BD107"/>
    <mergeCell ref="BE107:BF107"/>
    <mergeCell ref="BG107:BJ107"/>
    <mergeCell ref="AA107:AB107"/>
    <mergeCell ref="AC107:AF107"/>
    <mergeCell ref="AG107:AH107"/>
    <mergeCell ref="AI107:AL107"/>
    <mergeCell ref="AM107:AN107"/>
    <mergeCell ref="I108:N108"/>
    <mergeCell ref="O108:T108"/>
    <mergeCell ref="U108:Z108"/>
    <mergeCell ref="AA108:AF108"/>
    <mergeCell ref="AG108:AL108"/>
    <mergeCell ref="AS107:AT107"/>
    <mergeCell ref="AO107:AR107"/>
    <mergeCell ref="BQ108:BV108"/>
    <mergeCell ref="BK107:BL107"/>
    <mergeCell ref="BM107:BP107"/>
    <mergeCell ref="BQ107:BR107"/>
    <mergeCell ref="BS107:BV107"/>
    <mergeCell ref="BW107:CB107"/>
    <mergeCell ref="AM108:AR108"/>
    <mergeCell ref="AS108:AX108"/>
    <mergeCell ref="AY108:BD108"/>
    <mergeCell ref="BE108:BJ108"/>
    <mergeCell ref="BK108:BP108"/>
    <mergeCell ref="AA111:AB111"/>
    <mergeCell ref="AC111:AF111"/>
    <mergeCell ref="AG111:AH111"/>
    <mergeCell ref="AI111:AL111"/>
    <mergeCell ref="BM112:BP112"/>
    <mergeCell ref="BQ112:BR112"/>
    <mergeCell ref="BS112:BV112"/>
    <mergeCell ref="BW112:CB112"/>
    <mergeCell ref="D109:E109"/>
    <mergeCell ref="I111:N111"/>
    <mergeCell ref="O111:P111"/>
    <mergeCell ref="Q111:T111"/>
    <mergeCell ref="U111:V111"/>
    <mergeCell ref="W111:Z111"/>
    <mergeCell ref="AM111:AN111"/>
    <mergeCell ref="AO111:AR111"/>
    <mergeCell ref="AS111:AT111"/>
    <mergeCell ref="AU111:AX111"/>
    <mergeCell ref="AY111:AZ111"/>
    <mergeCell ref="BA111:BD111"/>
    <mergeCell ref="BE111:BF111"/>
    <mergeCell ref="BG111:BJ111"/>
    <mergeCell ref="BK111:BL111"/>
    <mergeCell ref="BM111:BP111"/>
    <mergeCell ref="BQ111:BR111"/>
    <mergeCell ref="BS111:BV111"/>
    <mergeCell ref="BW111:CB111"/>
    <mergeCell ref="I112:N112"/>
    <mergeCell ref="O112:P112"/>
    <mergeCell ref="Q112:T112"/>
    <mergeCell ref="U112:V112"/>
    <mergeCell ref="W112:Z112"/>
    <mergeCell ref="AA112:AB112"/>
    <mergeCell ref="AC112:AF112"/>
    <mergeCell ref="AG112:AH112"/>
    <mergeCell ref="AI112:AL112"/>
    <mergeCell ref="AM112:AN112"/>
    <mergeCell ref="AO112:AR112"/>
    <mergeCell ref="AS112:AT112"/>
    <mergeCell ref="AU112:AX112"/>
    <mergeCell ref="AY112:AZ112"/>
    <mergeCell ref="BA112:BD112"/>
    <mergeCell ref="BE112:BF112"/>
    <mergeCell ref="BG112:BJ112"/>
    <mergeCell ref="BK117:BL117"/>
    <mergeCell ref="BM117:BP117"/>
    <mergeCell ref="BQ117:BR117"/>
    <mergeCell ref="BS117:BV117"/>
    <mergeCell ref="BK113:BP113"/>
    <mergeCell ref="BQ113:BV113"/>
    <mergeCell ref="BQ114:BV114"/>
    <mergeCell ref="BK112:BL112"/>
    <mergeCell ref="BW117:CB117"/>
    <mergeCell ref="I113:N113"/>
    <mergeCell ref="O113:T113"/>
    <mergeCell ref="U113:Z113"/>
    <mergeCell ref="AA113:AF113"/>
    <mergeCell ref="AG113:AL113"/>
    <mergeCell ref="AM113:AR113"/>
    <mergeCell ref="AS113:AX113"/>
    <mergeCell ref="AY113:BD113"/>
    <mergeCell ref="BE113:BJ113"/>
    <mergeCell ref="AM114:AR114"/>
    <mergeCell ref="AS114:AX114"/>
    <mergeCell ref="AY114:BD114"/>
    <mergeCell ref="BE114:BJ114"/>
    <mergeCell ref="BK114:BL114"/>
    <mergeCell ref="BM114:BP114"/>
    <mergeCell ref="BW114:CB114"/>
    <mergeCell ref="D115:E115"/>
    <mergeCell ref="I115:N115"/>
    <mergeCell ref="BW115:CB115"/>
    <mergeCell ref="I117:N117"/>
    <mergeCell ref="O117:P117"/>
    <mergeCell ref="Q117:T117"/>
    <mergeCell ref="U117:V117"/>
    <mergeCell ref="W117:Z117"/>
    <mergeCell ref="AU117:AX117"/>
    <mergeCell ref="AY117:AZ117"/>
    <mergeCell ref="BA117:BD117"/>
    <mergeCell ref="BE117:BF117"/>
    <mergeCell ref="BG117:BJ117"/>
    <mergeCell ref="AA117:AB117"/>
    <mergeCell ref="AC117:AF117"/>
    <mergeCell ref="AG117:AH117"/>
    <mergeCell ref="AI117:AL117"/>
    <mergeCell ref="AM117:AN117"/>
    <mergeCell ref="I118:N118"/>
    <mergeCell ref="O118:P118"/>
    <mergeCell ref="Q118:T118"/>
    <mergeCell ref="U118:V118"/>
    <mergeCell ref="W118:Z118"/>
    <mergeCell ref="AS117:AT117"/>
    <mergeCell ref="AO117:AR117"/>
    <mergeCell ref="AA118:AB118"/>
    <mergeCell ref="AC118:AF118"/>
    <mergeCell ref="AG118:AH118"/>
    <mergeCell ref="AI118:AL118"/>
    <mergeCell ref="AM118:AN118"/>
    <mergeCell ref="AO118:AR118"/>
    <mergeCell ref="AS118:AT118"/>
    <mergeCell ref="AU118:AX118"/>
    <mergeCell ref="AY118:AZ118"/>
    <mergeCell ref="BA118:BD118"/>
    <mergeCell ref="BE118:BF118"/>
    <mergeCell ref="BG118:BJ118"/>
    <mergeCell ref="BK118:BL118"/>
    <mergeCell ref="BM118:BP118"/>
    <mergeCell ref="BQ118:BR118"/>
    <mergeCell ref="BS118:BV118"/>
    <mergeCell ref="BW118:CB118"/>
    <mergeCell ref="O119:T119"/>
    <mergeCell ref="U119:Z119"/>
    <mergeCell ref="AA119:AF119"/>
    <mergeCell ref="AG119:AL119"/>
    <mergeCell ref="AM119:AR119"/>
    <mergeCell ref="AS119:AX119"/>
    <mergeCell ref="AY119:BD119"/>
    <mergeCell ref="BE119:BJ119"/>
    <mergeCell ref="BK119:BP119"/>
    <mergeCell ref="BQ119:BV119"/>
    <mergeCell ref="D120:E120"/>
    <mergeCell ref="I122:N122"/>
    <mergeCell ref="O122:P122"/>
    <mergeCell ref="Q122:T122"/>
    <mergeCell ref="U122:V122"/>
    <mergeCell ref="W122:Z122"/>
    <mergeCell ref="AA122:AB122"/>
    <mergeCell ref="AC122:AF122"/>
    <mergeCell ref="BM122:BP122"/>
    <mergeCell ref="AG122:AH122"/>
    <mergeCell ref="AI122:AL122"/>
    <mergeCell ref="AM122:AN122"/>
    <mergeCell ref="AO122:AR122"/>
    <mergeCell ref="AS122:AT122"/>
    <mergeCell ref="AU122:AX122"/>
    <mergeCell ref="AC123:AF123"/>
    <mergeCell ref="AY122:AZ122"/>
    <mergeCell ref="BA122:BD122"/>
    <mergeCell ref="BE122:BF122"/>
    <mergeCell ref="BG122:BJ122"/>
    <mergeCell ref="BK122:BL122"/>
    <mergeCell ref="AU123:AX123"/>
    <mergeCell ref="BQ122:BR122"/>
    <mergeCell ref="BS122:BV122"/>
    <mergeCell ref="BW122:CB122"/>
    <mergeCell ref="I123:N123"/>
    <mergeCell ref="O123:P123"/>
    <mergeCell ref="Q123:T123"/>
    <mergeCell ref="U123:V123"/>
    <mergeCell ref="W123:Z123"/>
    <mergeCell ref="AA123:AB123"/>
    <mergeCell ref="BA123:BD123"/>
    <mergeCell ref="BE123:BF123"/>
    <mergeCell ref="BG123:BJ123"/>
    <mergeCell ref="BK123:BL123"/>
    <mergeCell ref="BM123:BP123"/>
    <mergeCell ref="AG123:AH123"/>
    <mergeCell ref="AI123:AL123"/>
    <mergeCell ref="AM123:AN123"/>
    <mergeCell ref="AO123:AR123"/>
    <mergeCell ref="AS123:AT123"/>
    <mergeCell ref="BQ123:BR123"/>
    <mergeCell ref="BS123:BV123"/>
    <mergeCell ref="BW123:CB123"/>
    <mergeCell ref="O124:T124"/>
    <mergeCell ref="U124:Z124"/>
    <mergeCell ref="AA124:AF124"/>
    <mergeCell ref="AG124:AL124"/>
    <mergeCell ref="AM124:AR124"/>
    <mergeCell ref="AS124:AX124"/>
    <mergeCell ref="AY123:AZ123"/>
    <mergeCell ref="D125:E125"/>
    <mergeCell ref="I127:N127"/>
    <mergeCell ref="O127:P127"/>
    <mergeCell ref="Q127:T127"/>
    <mergeCell ref="U127:V127"/>
    <mergeCell ref="W127:Z127"/>
    <mergeCell ref="BM128:BP128"/>
    <mergeCell ref="BQ128:BR128"/>
    <mergeCell ref="BS128:BV128"/>
    <mergeCell ref="AY124:BD124"/>
    <mergeCell ref="BE124:BJ124"/>
    <mergeCell ref="BK124:BP124"/>
    <mergeCell ref="BQ124:BV124"/>
    <mergeCell ref="BK127:BL127"/>
    <mergeCell ref="BM127:BP127"/>
    <mergeCell ref="BQ127:BR127"/>
    <mergeCell ref="AA127:AB127"/>
    <mergeCell ref="AC127:AF127"/>
    <mergeCell ref="AG127:AH127"/>
    <mergeCell ref="AI127:AL127"/>
    <mergeCell ref="AM127:AN127"/>
    <mergeCell ref="AO127:AR127"/>
    <mergeCell ref="AS127:AT127"/>
    <mergeCell ref="AU127:AX127"/>
    <mergeCell ref="AY127:AZ127"/>
    <mergeCell ref="BA127:BD127"/>
    <mergeCell ref="BE127:BF127"/>
    <mergeCell ref="BG127:BJ127"/>
    <mergeCell ref="BS127:BV127"/>
    <mergeCell ref="BW127:CB127"/>
    <mergeCell ref="O128:P128"/>
    <mergeCell ref="Q128:T128"/>
    <mergeCell ref="U128:V128"/>
    <mergeCell ref="W128:Z128"/>
    <mergeCell ref="AA128:AB128"/>
    <mergeCell ref="BK128:BL128"/>
    <mergeCell ref="AC128:AF128"/>
    <mergeCell ref="AG128:AH128"/>
    <mergeCell ref="AI128:AL128"/>
    <mergeCell ref="AM128:AN128"/>
    <mergeCell ref="AO128:AR128"/>
    <mergeCell ref="AS128:AT128"/>
    <mergeCell ref="AY129:BD129"/>
    <mergeCell ref="AU128:AX128"/>
    <mergeCell ref="AY128:AZ128"/>
    <mergeCell ref="BA128:BD128"/>
    <mergeCell ref="BE128:BF128"/>
    <mergeCell ref="BG128:BJ128"/>
    <mergeCell ref="BM133:BP133"/>
    <mergeCell ref="BQ133:BR133"/>
    <mergeCell ref="BS133:BV133"/>
    <mergeCell ref="BW133:CB133"/>
    <mergeCell ref="BE129:BJ129"/>
    <mergeCell ref="BK129:BP129"/>
    <mergeCell ref="BQ129:BV129"/>
    <mergeCell ref="BE130:BJ130"/>
    <mergeCell ref="O129:T129"/>
    <mergeCell ref="U129:Z129"/>
    <mergeCell ref="AA129:AF129"/>
    <mergeCell ref="AG129:AL129"/>
    <mergeCell ref="AM129:AR129"/>
    <mergeCell ref="AS129:AX129"/>
    <mergeCell ref="I130:N130"/>
    <mergeCell ref="O130:P130"/>
    <mergeCell ref="Q130:T130"/>
    <mergeCell ref="U130:V130"/>
    <mergeCell ref="W130:Z130"/>
    <mergeCell ref="AA130:AB130"/>
    <mergeCell ref="AC130:AF130"/>
    <mergeCell ref="AG130:AH130"/>
    <mergeCell ref="AI130:AL130"/>
    <mergeCell ref="AM130:AR130"/>
    <mergeCell ref="AS130:AX130"/>
    <mergeCell ref="AY130:BD130"/>
    <mergeCell ref="BK130:BP130"/>
    <mergeCell ref="BQ130:BV130"/>
    <mergeCell ref="BW130:CB130"/>
    <mergeCell ref="D131:E131"/>
    <mergeCell ref="I133:N133"/>
    <mergeCell ref="O133:P133"/>
    <mergeCell ref="Q133:T133"/>
    <mergeCell ref="U133:V133"/>
    <mergeCell ref="W133:Z133"/>
    <mergeCell ref="AA133:AB133"/>
    <mergeCell ref="AC133:AF133"/>
    <mergeCell ref="AG133:AH133"/>
    <mergeCell ref="AI133:AL133"/>
    <mergeCell ref="AM133:AN133"/>
    <mergeCell ref="AO133:AR133"/>
    <mergeCell ref="AS133:AT133"/>
    <mergeCell ref="AU133:AX133"/>
    <mergeCell ref="AY133:AZ133"/>
    <mergeCell ref="BA133:BD133"/>
    <mergeCell ref="BE133:BF133"/>
    <mergeCell ref="BG133:BJ133"/>
    <mergeCell ref="BK133:BL133"/>
    <mergeCell ref="I134:N134"/>
    <mergeCell ref="O134:P134"/>
    <mergeCell ref="Q134:T134"/>
    <mergeCell ref="U134:V134"/>
    <mergeCell ref="W134:Z134"/>
    <mergeCell ref="AA134:AB134"/>
    <mergeCell ref="BK134:BL134"/>
    <mergeCell ref="AC134:AF134"/>
    <mergeCell ref="AG134:AH134"/>
    <mergeCell ref="AI134:AL134"/>
    <mergeCell ref="AM134:AN134"/>
    <mergeCell ref="AO134:AR134"/>
    <mergeCell ref="AS134:AT134"/>
    <mergeCell ref="BW134:CB134"/>
    <mergeCell ref="O135:T135"/>
    <mergeCell ref="U135:Z135"/>
    <mergeCell ref="AA135:AF135"/>
    <mergeCell ref="AG135:AL135"/>
    <mergeCell ref="AM135:AR135"/>
    <mergeCell ref="AS135:AX135"/>
    <mergeCell ref="AU134:AX134"/>
    <mergeCell ref="AY134:AZ134"/>
    <mergeCell ref="BA134:BD134"/>
    <mergeCell ref="AY135:BD135"/>
    <mergeCell ref="BE135:BJ135"/>
    <mergeCell ref="BK135:BP135"/>
    <mergeCell ref="BQ135:BV135"/>
    <mergeCell ref="D136:E136"/>
    <mergeCell ref="BM134:BP134"/>
    <mergeCell ref="BQ134:BR134"/>
    <mergeCell ref="BS134:BV134"/>
    <mergeCell ref="BE134:BF134"/>
    <mergeCell ref="BG134:BJ134"/>
  </mergeCells>
  <printOptions horizontalCentered="1"/>
  <pageMargins left="0.39370078740157483" right="0.23622047244094491" top="1.1811023622047245" bottom="0.78740157480314965" header="1.5748031496062993" footer="0.31496062992125984"/>
  <pageSetup paperSize="8" scale="71" orientation="landscape" r:id="rId1"/>
  <headerFooter>
    <oddHeader>&amp;RPágina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CPU</vt:lpstr>
      <vt:lpstr>RESUMO</vt:lpstr>
      <vt:lpstr>Euro</vt:lpstr>
      <vt:lpstr>Dólar</vt:lpstr>
      <vt:lpstr>Assoreamento</vt:lpstr>
      <vt:lpstr>Cron_fis</vt:lpstr>
      <vt:lpstr>CPU!Area_de_impressao</vt:lpstr>
      <vt:lpstr>Cron_fis!Area_de_impressao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Pedro</dc:creator>
  <cp:lastModifiedBy>ThiagoMB</cp:lastModifiedBy>
  <cp:lastPrinted>2015-01-21T14:02:08Z</cp:lastPrinted>
  <dcterms:created xsi:type="dcterms:W3CDTF">2012-02-11T12:50:22Z</dcterms:created>
  <dcterms:modified xsi:type="dcterms:W3CDTF">2015-02-02T13:38:19Z</dcterms:modified>
</cp:coreProperties>
</file>