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SA\departamentos\SAC\DPR\02 - CGPR\Sétima Rodada\CPE\edital de selecao pre recurso\"/>
    </mc:Choice>
  </mc:AlternateContent>
  <xr:revisionPtr revIDLastSave="0" documentId="8_{163FBBF4-00B2-4409-A7E3-CB98FB554A88}" xr6:coauthVersionLast="45" xr6:coauthVersionMax="45" xr10:uidLastSave="{00000000-0000-0000-0000-000000000000}"/>
  <bookViews>
    <workbookView xWindow="-120" yWindow="-120" windowWidth="29040" windowHeight="15840" tabRatio="682" firstSheet="9" activeTab="16" xr2:uid="{00000000-000D-0000-FFFF-FFFF00000000}"/>
  </bookViews>
  <sheets>
    <sheet name="Resumo" sheetId="5" r:id="rId1"/>
    <sheet name="Rio de Janeiro SBRJ" sheetId="1" r:id="rId2"/>
    <sheet name="Uberlândia SBUL" sheetId="6" r:id="rId3"/>
    <sheet name="Montes Claros SBMK" sheetId="7" r:id="rId4"/>
    <sheet name="Uberaba SBUR" sheetId="8" r:id="rId5"/>
    <sheet name="Jacarepaguá SBJR" sheetId="9" r:id="rId6"/>
    <sheet name="Belém SBBE" sheetId="10" r:id="rId7"/>
    <sheet name="Macapá SBMQ" sheetId="11" r:id="rId8"/>
    <sheet name="Santarém SBSN" sheetId="12" r:id="rId9"/>
    <sheet name="Marabá SBMA" sheetId="13" r:id="rId10"/>
    <sheet name="Parauapebas SBCJ" sheetId="14" r:id="rId11"/>
    <sheet name="Altamira SBHT" sheetId="15" r:id="rId12"/>
    <sheet name="São Paulo SBSP" sheetId="16" r:id="rId13"/>
    <sheet name="Campo Grande SBCG" sheetId="17" r:id="rId14"/>
    <sheet name="Campo de Marte SBMT" sheetId="18" r:id="rId15"/>
    <sheet name="Corumbá SBCR" sheetId="19" r:id="rId16"/>
    <sheet name="Ponta Porã SBPP" sheetId="20" r:id="rId17"/>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4" i="12" l="1"/>
  <c r="H35" i="12"/>
  <c r="H36" i="12"/>
  <c r="H37" i="12"/>
  <c r="H38" i="12"/>
  <c r="H39" i="12"/>
  <c r="H40" i="12"/>
  <c r="H41" i="12"/>
  <c r="E14" i="5"/>
  <c r="H14" i="19"/>
  <c r="H15" i="19"/>
  <c r="H16" i="19"/>
  <c r="H17" i="19"/>
  <c r="H18" i="19"/>
  <c r="H19" i="19"/>
  <c r="H20" i="19"/>
  <c r="H21" i="19"/>
  <c r="H22" i="19"/>
  <c r="H23" i="19"/>
  <c r="H24" i="19"/>
  <c r="H25" i="19"/>
  <c r="H26" i="19"/>
  <c r="H27" i="19"/>
  <c r="H28" i="19"/>
  <c r="H29" i="19"/>
  <c r="H30" i="19"/>
  <c r="H31" i="19"/>
  <c r="H32" i="19"/>
  <c r="H33" i="19"/>
  <c r="D23" i="5"/>
  <c r="H14" i="18"/>
  <c r="H15" i="18"/>
  <c r="H16" i="18"/>
  <c r="H17" i="18"/>
  <c r="H18" i="18"/>
  <c r="H19" i="18"/>
  <c r="H20" i="18"/>
  <c r="H21" i="18"/>
  <c r="H22" i="18"/>
  <c r="H23" i="18"/>
  <c r="H24" i="18"/>
  <c r="H25" i="18"/>
  <c r="H26" i="18"/>
  <c r="H27" i="18"/>
  <c r="H28" i="18"/>
  <c r="H29" i="18"/>
  <c r="H30" i="18"/>
  <c r="H31" i="18"/>
  <c r="H32" i="18"/>
  <c r="H33" i="18"/>
  <c r="D22" i="5"/>
  <c r="H4" i="16"/>
  <c r="H5"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G20" i="5"/>
  <c r="H4" i="17"/>
  <c r="H5" i="17"/>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G21" i="5"/>
  <c r="H4" i="18"/>
  <c r="H5" i="18"/>
  <c r="H6" i="18"/>
  <c r="H7" i="18"/>
  <c r="H8" i="18"/>
  <c r="H9" i="18"/>
  <c r="H10" i="18"/>
  <c r="H11" i="18"/>
  <c r="H12" i="18"/>
  <c r="H13" i="18"/>
  <c r="H34" i="18"/>
  <c r="H35" i="18"/>
  <c r="H36" i="18"/>
  <c r="H37" i="18"/>
  <c r="H38" i="18"/>
  <c r="H39" i="18"/>
  <c r="H40" i="18"/>
  <c r="H41" i="18"/>
  <c r="H42" i="18"/>
  <c r="H43" i="18"/>
  <c r="H44" i="18"/>
  <c r="H45" i="18"/>
  <c r="H46" i="18"/>
  <c r="H47" i="18"/>
  <c r="H48" i="18"/>
  <c r="H49" i="18"/>
  <c r="H50" i="18"/>
  <c r="H51" i="18"/>
  <c r="G22" i="5"/>
  <c r="H4" i="19"/>
  <c r="H5" i="19"/>
  <c r="H6" i="19"/>
  <c r="H7" i="19"/>
  <c r="H8" i="19"/>
  <c r="H9" i="19"/>
  <c r="H10" i="19"/>
  <c r="H11" i="19"/>
  <c r="H12" i="19"/>
  <c r="H13" i="19"/>
  <c r="H34" i="19"/>
  <c r="H35" i="19"/>
  <c r="H36" i="19"/>
  <c r="H37" i="19"/>
  <c r="H38" i="19"/>
  <c r="H39" i="19"/>
  <c r="H40" i="19"/>
  <c r="H41" i="19"/>
  <c r="H42" i="19"/>
  <c r="H43" i="19"/>
  <c r="H44" i="19"/>
  <c r="H45" i="19"/>
  <c r="H46" i="19"/>
  <c r="H47" i="19"/>
  <c r="H48" i="19"/>
  <c r="H49" i="19"/>
  <c r="H50" i="19"/>
  <c r="H51" i="19"/>
  <c r="G23" i="5"/>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H42" i="20"/>
  <c r="H43" i="20"/>
  <c r="H44" i="20"/>
  <c r="H45" i="20"/>
  <c r="H46" i="20"/>
  <c r="H47" i="20"/>
  <c r="H48" i="20"/>
  <c r="H49" i="20"/>
  <c r="H50" i="20"/>
  <c r="H51" i="20"/>
  <c r="G24" i="5"/>
  <c r="G25" i="5"/>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G12" i="5"/>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G13" i="5"/>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42" i="12"/>
  <c r="H43" i="12"/>
  <c r="H44" i="12"/>
  <c r="H45" i="12"/>
  <c r="H46" i="12"/>
  <c r="H47" i="12"/>
  <c r="H48" i="12"/>
  <c r="H49" i="12"/>
  <c r="H50" i="12"/>
  <c r="H51" i="12"/>
  <c r="G14" i="5"/>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G15" i="5"/>
  <c r="H4" i="14"/>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G16" i="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G17" i="5"/>
  <c r="G18" i="5"/>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G5" i="5"/>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G6" i="5"/>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G7" i="5"/>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G8" i="5"/>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G9" i="5"/>
  <c r="G10" i="5"/>
  <c r="I24" i="5"/>
  <c r="C24" i="5"/>
  <c r="J24" i="5"/>
  <c r="D24" i="5"/>
  <c r="K24" i="5"/>
  <c r="E24" i="5"/>
  <c r="L24" i="5"/>
  <c r="F24" i="5"/>
  <c r="M24" i="5"/>
  <c r="I23" i="5"/>
  <c r="C23" i="5"/>
  <c r="J23" i="5"/>
  <c r="K23" i="5"/>
  <c r="E23" i="5"/>
  <c r="L23" i="5"/>
  <c r="F23" i="5"/>
  <c r="M23" i="5"/>
  <c r="I22" i="5"/>
  <c r="C22" i="5"/>
  <c r="J22" i="5"/>
  <c r="K22" i="5"/>
  <c r="E22" i="5"/>
  <c r="L22" i="5"/>
  <c r="F22" i="5"/>
  <c r="M22" i="5"/>
  <c r="I21" i="5"/>
  <c r="C21" i="5"/>
  <c r="J21" i="5"/>
  <c r="D21" i="5"/>
  <c r="K21" i="5"/>
  <c r="E21" i="5"/>
  <c r="L21" i="5"/>
  <c r="F21" i="5"/>
  <c r="M21" i="5"/>
  <c r="I20" i="5"/>
  <c r="C20" i="5"/>
  <c r="J20" i="5"/>
  <c r="D20" i="5"/>
  <c r="E20" i="5"/>
  <c r="L20" i="5"/>
  <c r="F20" i="5"/>
  <c r="M20" i="5"/>
  <c r="I17" i="5"/>
  <c r="C17" i="5"/>
  <c r="J17" i="5"/>
  <c r="D17" i="5"/>
  <c r="K17" i="5"/>
  <c r="E17" i="5"/>
  <c r="L17" i="5"/>
  <c r="F17" i="5"/>
  <c r="M17" i="5"/>
  <c r="I16" i="5"/>
  <c r="C16" i="5"/>
  <c r="J16" i="5"/>
  <c r="D16" i="5"/>
  <c r="K16" i="5"/>
  <c r="E16" i="5"/>
  <c r="L16" i="5"/>
  <c r="F16" i="5"/>
  <c r="M16" i="5"/>
  <c r="I15" i="5"/>
  <c r="C15" i="5"/>
  <c r="J15" i="5"/>
  <c r="D15" i="5"/>
  <c r="K15" i="5"/>
  <c r="E15" i="5"/>
  <c r="F15" i="5"/>
  <c r="M15" i="5"/>
  <c r="I14" i="5"/>
  <c r="C14" i="5"/>
  <c r="J14" i="5"/>
  <c r="D14" i="5"/>
  <c r="K14" i="5"/>
  <c r="L14" i="5"/>
  <c r="F14" i="5"/>
  <c r="M14" i="5"/>
  <c r="I13" i="5"/>
  <c r="C13" i="5"/>
  <c r="J13" i="5"/>
  <c r="D13" i="5"/>
  <c r="K13" i="5"/>
  <c r="E13" i="5"/>
  <c r="L13" i="5"/>
  <c r="F13" i="5"/>
  <c r="M13" i="5"/>
  <c r="I12" i="5"/>
  <c r="C12" i="5"/>
  <c r="J12" i="5"/>
  <c r="D12" i="5"/>
  <c r="K12" i="5"/>
  <c r="E12" i="5"/>
  <c r="L12" i="5"/>
  <c r="F12" i="5"/>
  <c r="M12" i="5"/>
  <c r="I9" i="5"/>
  <c r="C9" i="5"/>
  <c r="J9" i="5"/>
  <c r="D9" i="5"/>
  <c r="K9" i="5"/>
  <c r="E9" i="5"/>
  <c r="L9" i="5"/>
  <c r="F9" i="5"/>
  <c r="M9" i="5"/>
  <c r="I8" i="5"/>
  <c r="C8" i="5"/>
  <c r="J8" i="5"/>
  <c r="D8" i="5"/>
  <c r="K8" i="5"/>
  <c r="E8" i="5"/>
  <c r="L8" i="5"/>
  <c r="F8" i="5"/>
  <c r="M8" i="5"/>
  <c r="I7" i="5"/>
  <c r="C7" i="5"/>
  <c r="J7" i="5"/>
  <c r="D7" i="5"/>
  <c r="K7" i="5"/>
  <c r="E7" i="5"/>
  <c r="L7" i="5"/>
  <c r="F7" i="5"/>
  <c r="M7" i="5"/>
  <c r="I6" i="5"/>
  <c r="C6" i="5"/>
  <c r="J6" i="5"/>
  <c r="D6" i="5"/>
  <c r="K6" i="5"/>
  <c r="E6" i="5"/>
  <c r="L6" i="5"/>
  <c r="F6" i="5"/>
  <c r="M6" i="5"/>
  <c r="M25" i="5"/>
  <c r="K5" i="5"/>
  <c r="N25" i="5"/>
  <c r="N18" i="5"/>
  <c r="N10" i="5"/>
  <c r="L5" i="5"/>
  <c r="J5" i="5"/>
  <c r="I5" i="5"/>
  <c r="C5" i="5"/>
  <c r="F5" i="5"/>
  <c r="D5" i="5"/>
  <c r="E5" i="5"/>
  <c r="M5" i="5"/>
  <c r="M18" i="5"/>
  <c r="M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thiago.caldeira</author>
  </authors>
  <commentList>
    <comment ref="N4" authorId="0" shapeId="0" xr:uid="{00000000-0006-0000-0000-000001000000}">
      <text>
        <r>
          <rPr>
            <b/>
            <sz val="9"/>
            <color indexed="81"/>
            <rFont val="Tahoma"/>
            <family val="2"/>
          </rPr>
          <t>thiago.caldeira:</t>
        </r>
        <r>
          <rPr>
            <sz val="9"/>
            <color indexed="81"/>
            <rFont val="Tahoma"/>
            <family val="2"/>
          </rPr>
          <t xml:space="preserve">
Edital CPE nº 3/2017 (já com ajustes)</t>
        </r>
      </text>
    </comment>
  </commentList>
</comments>
</file>

<file path=xl/sharedStrings.xml><?xml version="1.0" encoding="utf-8"?>
<sst xmlns="http://schemas.openxmlformats.org/spreadsheetml/2006/main" count="3266" uniqueCount="423">
  <si>
    <t>Estudo</t>
  </si>
  <si>
    <t>Tópico</t>
  </si>
  <si>
    <t>Descrição</t>
  </si>
  <si>
    <t>Estudo de Mercado</t>
  </si>
  <si>
    <t>Avaliação da demanda</t>
  </si>
  <si>
    <t>Estudo de Engenharia e afins</t>
  </si>
  <si>
    <t>Desenvolvimento do sítio aeroportuário</t>
  </si>
  <si>
    <t>Estimativas de CAPEX e OPEX</t>
  </si>
  <si>
    <t>Estudos Ambientais</t>
  </si>
  <si>
    <t>Relatório de estudos ambientais</t>
  </si>
  <si>
    <t>Avaliação Econômico-Financeira</t>
  </si>
  <si>
    <t>ITENS PARA AVALIAÇÃO</t>
  </si>
  <si>
    <t>Atende minimamente? (Sim = 1 / Não = 0)</t>
  </si>
  <si>
    <t>Nota qualitativa (0% a 100%)</t>
  </si>
  <si>
    <t>Comentários</t>
  </si>
  <si>
    <t>NOTAS FINAIS PARA SELEÇÃO DOS ESTUDOS</t>
  </si>
  <si>
    <t>Nota do item</t>
  </si>
  <si>
    <t>Demanda</t>
  </si>
  <si>
    <t>Ambiental</t>
  </si>
  <si>
    <t>Engenharia</t>
  </si>
  <si>
    <t>Financeiro</t>
  </si>
  <si>
    <t>Nota</t>
  </si>
  <si>
    <t>VALOR DE RESSARCIMENTO</t>
  </si>
  <si>
    <t>Valor do ressarcimento</t>
  </si>
  <si>
    <t xml:space="preserve"> </t>
  </si>
  <si>
    <t>Estudo de
Engenharia
e afins</t>
  </si>
  <si>
    <t>Inventário das
condições
existentes</t>
  </si>
  <si>
    <t>Estimativas
de Receitas</t>
  </si>
  <si>
    <r>
      <rPr>
        <i/>
        <sz val="12"/>
        <rFont val="Times New Roman"/>
        <family val="1"/>
      </rPr>
      <t>Duedilligence</t>
    </r>
    <r>
      <rPr>
        <sz val="12"/>
        <rFont val="Times New Roman"/>
        <family val="1"/>
      </rPr>
      <t xml:space="preserve"> de
contratos</t>
    </r>
  </si>
  <si>
    <t>Estimativas
de OPEX</t>
  </si>
  <si>
    <t>Consórcio GCA</t>
  </si>
  <si>
    <t>BLOCO RJ/MG</t>
  </si>
  <si>
    <t>BLOCO NORTE II</t>
  </si>
  <si>
    <t>BLOCO SP/MS</t>
  </si>
  <si>
    <t>Rio de Janeiro</t>
  </si>
  <si>
    <t>Uberlândia</t>
  </si>
  <si>
    <t>Montes Claros</t>
  </si>
  <si>
    <t>Uberaba</t>
  </si>
  <si>
    <t>Jacarepaguá</t>
  </si>
  <si>
    <t>Belém</t>
  </si>
  <si>
    <t>Macapá</t>
  </si>
  <si>
    <t>Santarém</t>
  </si>
  <si>
    <t>Marabá</t>
  </si>
  <si>
    <t>Parauapebas</t>
  </si>
  <si>
    <t>Altamira</t>
  </si>
  <si>
    <t>São Paulo</t>
  </si>
  <si>
    <t>Campo Grande</t>
  </si>
  <si>
    <t>Campo de Marte/SP</t>
  </si>
  <si>
    <t>Ponta Porã</t>
  </si>
  <si>
    <t>Corumbá</t>
  </si>
  <si>
    <r>
      <t>AVALIAÇÃO -</t>
    </r>
    <r>
      <rPr>
        <b/>
        <sz val="11"/>
        <color rgb="FFFF0000"/>
        <rFont val="Times New Roman"/>
        <family val="1"/>
      </rPr>
      <t xml:space="preserve"> GCA</t>
    </r>
  </si>
  <si>
    <t>Valor Máximo Autor.</t>
  </si>
  <si>
    <t>O estudo apresenta análise dos contratos operacionais e comerciais vigentes entre o operador aeroportuário atual e outros agentes relacionados ao aeroporto e avaliação dos impactos jurídicos (elaboração dedue dilligence), destacando, quando aplicável, a existência de bens que o aeroporto utiliza em suas operações, mas que são de propriedade de terceiros, tais como aqueles decorrentes de contratos de arrendamento ou aluguel.</t>
  </si>
  <si>
    <t>O estudo contempla adequadamente previsão de receitas tarifárias, indicando as premissas de modelagem, a metodologia empregada e os aspectos técnicos pertinentes, como adequação ao modelo regulatório
ao qual o aeroporto estará submetido.</t>
  </si>
  <si>
    <t>O Estudo realiza análise de indicadores relevantes de aeroportos com características similares ao aeroporto estudado e avalia o modelo de negócio proposto para o aeroporto para os diferentes segmentos e fontes de receita, considerando potenciais forças, oportunidades,
fraquezas e ameaças (SWOT).</t>
  </si>
  <si>
    <t>Os custos operacionais estão baseados em referências de custos eficientes, inclusive combenchmarkingde outros aeroportos semelhantes, nacionais e internacionais, fundamentando sua definição. Encontram-se apresentados em nível de desagregação que permite a compreensão da natureza dos custos necessários à operação do aeroporto, destacando, inclusive, mas não se limitando a, custos de manutenção, custos de pessoal, material de consumo, serviços públicos e serviços contratados ou terceirizados, compatíveis com as soluções adotadas para o desenvolvimento do sítio aeroportuário e refletindo uma estrutura organizacional hipotética do operador. Os custos operacionais consideram ganhos de escala advindos da gestão conjunta dos ativos do Bloco de aeroportos.</t>
  </si>
  <si>
    <t>O relatório de avaliação econômico-financeira contém a modelagem econômico-financeira, apresentada por meio de planilha eletrônica, pelo método de fluxo de caixa descontado, pelo período mínimo de 30 anos, com objetivo de avaliar a atratividade do projeto para o setor privado, focando na possibilidade de sua autossustentabilidade, contemplando elementos usualmente adotados no mercado para análise da viabilidade do projeto, como TIR, TIRM, VPL, payback, payback descontado, taxa de retorno do acionista entre outros. A planilha financeira permite cálculo do valor da
outorga necessário a que o Valor Presente Líquido do projeto se torne zero.</t>
  </si>
  <si>
    <t>O relatório de avaliação econômico-financeira considera os resultados dos estudos de demanda, das estimativas de receitas, incluindo as acessórias, dos custos de operação, manutenção e expansão, dos custos ambientais, dos investimentos, dos impactos financeiros decorrentes das
premissas estabelecidas e da análise de risco e jurídica,due dilligencee outros.</t>
  </si>
  <si>
    <t>A modelagem econômico-financeira apresenta e utiliza premissas macroeconômicas e tributárias coerentes com o desenvolvimento proposto, bem como de eventuais benefícios fiscais afetos ao empreendimento.</t>
  </si>
  <si>
    <t>A modelagem econômico-financeira apresenta e utiliza corretamente premissas contábeis e de amortização e depreciação, conforme a legislação vigente, e melhores práticas contábeis e de modelagem econômica e financeira</t>
  </si>
  <si>
    <t>A modelagem econômico-financeira apresenta e utiliza premissas e parâmetros adequados e atuais para a estrutura de financiamento do projeto.</t>
  </si>
  <si>
    <t>O estudo analisa e considera nas projeções de demanda a inserção do aeroporto na malha de transportes local, evidenciando a sua interface com outros modais existentes e a sua integração com os serviços do aeroporto, e a delimitação das regiões de influência, levando em conta dados demográficos, socioeconômicos e variáveis regionais.</t>
  </si>
  <si>
    <t>O estudo analisa e considera nas projeções de demanda o histórico de movimentação do aeroporto, considerando, separadamente, e em diferentes níveis de agregação, os
dados disponíveis para cada segmento (passageiros, aeronaves e cargas) e perfil (regular, não-regular, doméstica, internacional, conexão etc.), assim como suas variações sazonais ou ocorrências de períodos de pico para
os diferentes tipos de tráfego.</t>
  </si>
  <si>
    <t>O estudo analisa e considera nas projeções de demanda as dinâmicas competitivas atuais e futuras que o aeroporto deverá enfrentar, em especial os impactos devidos à
competição intramodal (entre aeroportos) e intermodal (demais modos de transporte) para os diferentes segmentos.</t>
  </si>
  <si>
    <t>O estudo analisa e considera nas projeções de demanda como o aeroporto poderá se inserir na malha aérea doméstica e internacional após a concessão (previsão de modelo de negócio de serviços aéreos do aeroporto) para os diferentes segmentos.</t>
  </si>
  <si>
    <t>O estudo apresenta de forma clara as premissas de modelagem utilizadas nas projeções de demanda por
segmento, e, em especial, como considera as dinâmicas atuais e futuras do aeroporto (região de influência, aspectos socioeconômicos, histórico de movimentação, competitividade intermodal e intramodal, inserção do
aeroporto na malha aérea nacional e internacional, entre outros).</t>
  </si>
  <si>
    <t>O estudo apresenta de forma clara a metodologia adotada para a projeção de demanda do aeroporto por segmento, assim como os aspectos técnicos pertinentes à sua validade e integridade.</t>
  </si>
  <si>
    <t>O estudo apresenta de forma clara as variáveis explicativas consideradas nos modelos de projeção de demanda do aeroporto por segmento, bem como a metodologia adotada para suas projeções, considerando o período sugerido de 30 anos.</t>
  </si>
  <si>
    <t>O estudo apresenta separadamente a projeção de demanda irrestrita para cada segmento (passageiros, aeronaves e cargas) e perfil (regular, não-regular, doméstica, internacional, conexão etc.), bem como os resultados agregados ao longo de um período sugerido de 30 (trinta) anos.</t>
  </si>
  <si>
    <t>O estudo apresenta de forma clara a projeção de demanda de hora-pico para os diferentes componentes aeroportuários (pista, pátio, terminal de passageiros e estacionamento) ao longo de um período sugerido de 30
(trinta) anos, assim como a metodologia adotada e os aspectos técnicos pertinentes.</t>
  </si>
  <si>
    <t>O estudo avalia a ocorrência de eventuais restrições operacionais apontadas nos estudos ambientais e de engenharia e afins, compatibiliza as projeções de demanda irrestrita e de hora-pico para os diferentes tipos de
tráfego, e apresenta a projeção de demanda restrita para cada segmento e perfil para um período sugerido de 30 (trinta) anos, comparando os resultados com indicadores de
aeroportos comparáveis.</t>
  </si>
  <si>
    <t>Avaliação das instalações existentes do aeroporto, com descrição e detalhamento dos bens que constituirão a concessão, contemplando avaliação dos sistemas existentes da infraestrutura aeroportuária (terminal de passageiros
e de cargas, acesso viário, sistema de pistas e pátios, etc.) com imagens, desenhos esquemáticos, croquis ou demais elementos aplicáveis.</t>
  </si>
  <si>
    <t>Avaliação do estado de conservação e do tempo de vida útil estimado para os principais equipamentos do aeroporto (escadas rolantes, elevadores, pontes de embarque), bem como dos sistemas de pistas e de pátios de aeronave.</t>
  </si>
  <si>
    <t>Avaliação da situação patrimonial das áreas que compõem o atual sítio aeroportuário, contemplando a realização dedue diligenceimobiliária para levantamento da situação patrimonial do sítio. Apresentação, por meio de desenhos esquemáticos, imagens ou outros elementos aplicáveis, das cercas operacionais e patrimoniais existentes.</t>
  </si>
  <si>
    <t>O estudo apresenta avaliação do zoneamento civil/militar e funcional do aeroporto. Apresenta também avaliação do(s) plano(s) de proteção de obstáculos e do plano de zoneamento de ruído do aeroporto.</t>
  </si>
  <si>
    <t>Foram apresentadas as limitações físicas/operacionais existentes e/ou não-conformidades no aeroporto, considerando a operação atual e o mínimo operacional definido para o aeroporto. Foram considerados os compromissos de investimentos e/ou regularização de pendências firmados pelo operador aeroportuário atual com
órgãos federais, estaduais ou municipais.</t>
  </si>
  <si>
    <t>Avaliação da capacidade instalada quanto ao(s) terminal(is) de passageiro(s) e suas estruturas associadas (vias de acesso e estacionamento de veículos).</t>
  </si>
  <si>
    <t>Avaliação da capacidade instalada quanto aos sistemas de pistas e de pátios de aeronaves.</t>
  </si>
  <si>
    <t>Avaliação da capacidade instalada dos seguintes sistemas: processamento de carga aérea (terminais de carga), aviação geral, áreas administrativas e manutenção, infraestrutura de apoio às operações e às companhias aéreas, infraestrutura básica (utilidades) e infraestrutura aeronáutica.</t>
  </si>
  <si>
    <t>O estudo analisa alternativas possíveis para o desenvolvimento do aeroporto, abrangendo o Plano Diretor do aeroporto elaborado pelo operador aeroportuário atual, bem como os estudos e projetos existentes, apresentando-se a solução considerada mais adequada para o desenvolvimento do aeroporto, sob aspectos de eficiência e maximização do retorno esperado do projeto, em fases de implantação, contemplando
uma concepção modular e balanceada.</t>
  </si>
  <si>
    <t>É apresentada análise de possíveis restrições de tráfego aéreo e interferências entre as operações do aeroporto e de aeroportos próximos, para cada fase/etapa de  planejamento, de acordo com a solução adotada e com as informações do DECEA.</t>
  </si>
  <si>
    <t>É apresentado anteprojeto de engenharia, demonstrando claramente a implantação de acordo com as fases/etapas propostas, consistentes com as projeções de demanda,
especificando a expansão prevista para cada fase/etapa, atendendo aos parâmetros e especificações técnicas mínimas e evidenciando o atendimento às normatizações da ANAC e, subsidiariamente, normas ABNT relativas a ruídos, ergonomia e conforto, quando existentes, bem como as demais normas técnicas aplicáveis às soluções de engenharia propostas.</t>
  </si>
  <si>
    <t>O anteprojeto contém elementos que permitam a plena caracterização das obras previstas em cada fase/etapa de
implantação, como desenhos esquemáticos, croquis ou imagens e memórias de cálculo, além de investigações e ensaios, quando couber.</t>
  </si>
  <si>
    <t>Para fins de dimensionamento do terminal de passageiros, foram considerados os parâmetros adotados pela ANAC na avaliação do nível de serviço dos componentes operacionais, apresentando anteprojeto do terminal de passageiros para cada fase/etapa de implantação da solução escolhida como mais adequada para o desenvolvimento do aeroporto, bem como são apresentados os cálculos e planilhas utilizados na elaboração do anteprojeto que evidenciam a utilização dos parâmetros da ANAC e
da Associação Internacional de Transporte Aéreo (IATA), quando aplicável.</t>
  </si>
  <si>
    <t>São apresentadas investigações e ensaios geotécnicos recentes de modo a caracterizar o solo em áreas de
expansão da infraestrutura.</t>
  </si>
  <si>
    <t>Se verificada a existência de obras inacabadas ou em execução no sítio aeroportuário, o estudo avalia as condições das obras (bem como as condições dos equipamentos e bens integrantes dessas obras) e quanto do
executado ou em execução é possível de ser aproveitado na expansão prevista para o desenvolvimento do aeroporto.</t>
  </si>
  <si>
    <t>É apresentado o cronograma de execução das obras previstas em cada fase de expansão do aeroporto, incluindo todas as atividades previstas, embasando tecnicamente os prazos apresentados.</t>
  </si>
  <si>
    <t>É apresentada a determinação dos quantitativos dos investimentos, compatíveis com memória de cálculo de investimentos, referenciada nos elementos do anteprojeto utilizado, em quantidades agregadas principais.</t>
  </si>
  <si>
    <t>Nas estimativas de CAPEX, os preços unitários estão baseados em sistemas oficiais de preço, em preços de mercado ou em valores referenciais admitidos pela Administração Pública Federal, principalmente pelos órgãos de fiscalização e controle.</t>
  </si>
  <si>
    <t>Nas estimativas de CAPEX, as previsões de custo global dos investimentos são apresentadas para cada fase/etapa de implantação proposta, de acordo com o anteprojeto.</t>
  </si>
  <si>
    <t>Se verificada a necessidade de utilização de áreas externas aos limites do sítio aeroportuário para viabilizar a ampliação da infraestrutura aeroportuária ou de limitações
administrativas adicionais em áreas próximas ao aeroporto (art. 43 da Lei n. 7.565, de 1986), o estudo apresenta os
custos de desapropriação ou indenização referentes a cada caso.</t>
  </si>
  <si>
    <t>Os estudos ambientais contemplam uma adequada avaliação do histórico do aeroporto, diagnóstico e análise da
regularidade ambiental e conformidade do aeroporto perante os órgãos fiscalizadores (municipais, estaduais e federais), outras autorizações, outorgas e licenças, bem
como de processos judiciais e de contratos vigentes sob a temática ambiental.</t>
  </si>
  <si>
    <t>Os estudos ambientais apresentam diagnóstico detalhado dos riscos, restrições e impactos socioambientais do plano de desenvolvimento do sítio proposto no estudo de engenharia, estratégias/medidas de mitigação específicas para cada risco identificado.</t>
  </si>
  <si>
    <t>Os estudos ambientais definem, identificam, analisam os impactos sociais e econômicos e precificam e passivos existentes.</t>
  </si>
  <si>
    <t>Os estudos ambientais avaliam a adequação dos projetos de
desenvolvimento do sítio aeroportuário quanto aos riscos, restrições e impactos socioambientais diagnosticados, bem como quanto às boas práticas nacionais e internacionais
de sustentabilidade aplicáveis à gestão socioambiental dos aeroportos.</t>
  </si>
  <si>
    <t>Há descrição dos sistemas/Planos de Gestão socioambientais propostos, com a apresentação de indicadores para avaliação do desempenho socioambiental dos operadores
aeroportuários.</t>
  </si>
  <si>
    <t>Os estudos ambientais realizam adequada análise do uso e ocupação do solo, curvas de ruídos, emissões atmosféricas, cobertura vegetal e fauna no sítio aeroportuário e redondezas do sítio aeroportuário, apresentando ainda, diagnóstico e análise de todos os planos obrigatórios
ao aeroporto.</t>
  </si>
  <si>
    <t>Os estudos ambientais apresentam as diretrizes e previsão de cronograma para o licenciamento ambiental do
empreendimento pela futura concessionária, quando aplicável.</t>
  </si>
  <si>
    <t>Os estudos ambientais definem custo atinente ao licenciamento ambiental, incluindo passivos existentes e
implantação de medidas mitigadoras, soluções e estratégias para viabilização do projeto do ponto de vista socioambiental.</t>
  </si>
  <si>
    <t>O Estudo contempla adequadamente a previsão de receitas não tarifárias, indicando as premissas de modelagem, a metodologia empregada e os aspectos técnicos pertinentes, em especial odue diligencecomercial (indicando a assunção de obrigações relacionadas à sub-rogação de contratos ao futuro operador) e a aderência às práticas comerciais resultantes da análise de benchmarking com aeroportos
comparáveis.</t>
  </si>
  <si>
    <t>OK</t>
  </si>
  <si>
    <t xml:space="preserve">Para o cálculo da receita financeira, a modelagem considera como base de cálculo o valor da conta caixa no início de período. Entretanto, esse mesmo valor não deverá permanecer no caixa durante todo ano. Dessa forma, a modelagem em bases anuais da conta caixa gera imprecisão da conta receitas financeiras. </t>
  </si>
  <si>
    <t>A modelagem econômico-financeira apresenta e utiliza corretamente premissas contábeis e de amortização e depreciação, conforme a legislação vigente, e melhores práticas contábeis e de modelagem econômica e financeira.</t>
  </si>
  <si>
    <r>
      <t xml:space="preserve">O modelo deveria ter deflacionado a RTP estabelecida pela Portaria SRA/ANAC nº 3642, de 09 de dezembro de 2020, considerando que a mesma estabelece o tarifário a ser praticado no ano de 2021 e o modelo está a preços de outubro de 2020. 
A modelagem apresentada no estudo para as receitas tarifárias reguladas utiliza a linha de Tarifa de Embarque Doméstico como variável de ajuste para não ultrapassar a receita-teto por passageiro a cada ano. O estudo não justifica a escolha estratégica ou mercadológica dessa metodologia. </t>
    </r>
    <r>
      <rPr>
        <sz val="11"/>
        <color rgb="FFFF0000"/>
        <rFont val="Times New Roman"/>
        <family val="1"/>
      </rPr>
      <t xml:space="preserve">
</t>
    </r>
  </si>
  <si>
    <t xml:space="preserve">No item 7.1 do relatório,  o consórcio não explicitou quais rubricas de receita não-tarifária considerou sujeitas a ISS. Dada a informação disponível, poderia ter estimado o percentual de receitas não-tarifárias sujeitas a ISS a partir de valores históricos de concessionárias de aeroportos. Dessa forma, também não considerou eventuais serviços que possam ser prestados pelo futuro concessionário que seriam sujeitos a ISS.
O relatório utiliza como benchmark para recuperação de crédito PIS/COFINS amostra de aeroportos quando ainda operados pela Infraero, sem apresentar referências recentes de aeroportos concedidos ou estimativas de consultoria especializada.
</t>
  </si>
  <si>
    <t>Não há foi apresentada a memória de cálculo utilizada para a definição do ticket médio da carga. Ademais, utilizou-se como referência aeroportos com infraestrutura bastante distinta daquela experimentada por SBSP ao longo da concessão. 
O modelo financeiro deveria ter deflacionado a RTP estabelecida pela Portaria SRA/ANAC nº 3642, de 09 de dezembro de 2020, considerando que a mesma estabelece o tarifário a ser praticado no ano de 2021 e o modelo está a preços de outubro de 2020. 
A modelagem apresentada no estudo para as receitas tarifárias reguladas utiliza a linha de Tarifa de Embarque Doméstico como variável de ajuste para não ultrapassar a receita-teto por passageiro a cada ano. O estudo não justifica a escolha estratégica ou mercadológica dessa metodologia. Entendende-se que o ajuste pela RTP deveria ter sido feito, ex-post, sobre a linha de Receita Tarifária Total, após a projeção de receitas por linha tarifária com a devida justificativa para os ajustes tarifários propostos.</t>
  </si>
  <si>
    <r>
      <t>O modelo deveria ter deflacionado a RTP estabelecida pela Portaria SRA/ANAC nº 3642, de 09 de dezembro de 2020, considerando que a mesma estabelece o tarifário a ser praticado no ano de 2021 e o modelo está a preços de outubro de 2020. 
A modelagem apresentada no estudo para as receitas tarifárias reguladas utiliza a linha de Tarifa de Embarque Doméstico como variável de ajuste para não ultrapassar a receita-teto por passageiro a cada ano. O estudo não justifica a escolha estratégica ou mercadológica dessa metodologia.</t>
    </r>
    <r>
      <rPr>
        <sz val="11"/>
        <color rgb="FFFF0000"/>
        <rFont val="Times New Roman"/>
        <family val="1"/>
      </rPr>
      <t xml:space="preserve">
</t>
    </r>
  </si>
  <si>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De acordo com o relatório (p. 220), os custos com pessoal e serviços contratados do aeroporto são comparados com aeroportos de porte similar operados pela Infraero e o ASGA.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SBRJ. Portanto, carece de fundamentação a utilização de SBSG como referência de custo.
</t>
  </si>
  <si>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De acordo com o relatório (p. 157),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SBRJ. Portanto, carece de fundamentação a utilização de SBSG como referência de custo.
</t>
  </si>
  <si>
    <t>O estudo contempla adequadamente previsão de receitas tarifárias, indicando as premissas de modelagem, a metodologia empregada e os aspectos técnicos pertinentes, como adequação ao modelo regulatório ao qual o aeroporto estará submetido.</t>
  </si>
  <si>
    <r>
      <rPr>
        <sz val="11"/>
        <rFont val="Times New Roman"/>
        <family val="1"/>
      </rPr>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t>
    </r>
    <r>
      <rPr>
        <sz val="11"/>
        <color rgb="FF000000"/>
        <rFont val="Times New Roman"/>
        <family val="1"/>
      </rPr>
      <t xml:space="preserve">
De acordo com o relatório (p. 161),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SBRJ. Portanto, carece de fundamentação a utilização de SBSG como referência de custo.
</t>
    </r>
  </si>
  <si>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De acordo com o relatório (p. 182),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SBRJ. Portanto, carece de fundamentação a utilização de SBSG como referência de custo.
</t>
  </si>
  <si>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De acordo com o relatório (p. 167),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SBRJ. Portanto, carece de fundamentação a utilização de SBSG como referência de custo.
</t>
  </si>
  <si>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De acordo com o relatório (p. 180),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SBRJ. Portanto, carece de fundamentação a utilização de SBSG como referência de custo.
</t>
  </si>
  <si>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Uma vez que não há dados históricos no aeroporto para armazenagem e capatazia, o custo de referência para a projeção foi calculado utilizando-se o benchmark de aeroportos comparáveis. Entretanto, não foi esclarecido o critério utilizado para a seleção de benchmarks.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De acordo com o relatório (p. 210),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SBSP. Portanto, carece de fundamentação a utilização de SBSG como referência de custo.
Não foram computadas eventuais sinergias decorrente da operação conjunta de SBSP e SBMT considerando a proximidade dos dois aeroportos.
</t>
  </si>
  <si>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De acordo com o relatório (p. 180), os custos com pessoal e serviços contratados do aeroporto são comparados com aeroportos de porte similar operados pela Infraero e ASGA.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SBUL. Portanto, carece de fundamentação a utilização de SBSG como referência de custo.
</t>
  </si>
  <si>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De acordo com o relatório (p. 172),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SBCG. Portanto, carece de fundamentação a utilização de SBSG como referência de custo.
</t>
  </si>
  <si>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De acordo com o relatório (p. 166),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SBCG. Portanto, carece de fundamentação a utilização de SBSG como referência de custo.
</t>
  </si>
  <si>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Não foram computadas eventuais sinergias decorrente da operação conjunta de SBRJ e SBJR considerando a proximidade dos dois aeroportos.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De acordo com o relatório (p. 185),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SBJR. Portanto, carece de fundamentação a utilização de SBSG como referência de custo.
</t>
  </si>
  <si>
    <t xml:space="preserve">Em que pese identificar a ausência no Data Room de contratos comerciais existentes, o consórcio não realiza o due diligence desses contratos, se restringindo a informar que a análise não foi feita, pois a informação não estava no DR. 
</t>
  </si>
  <si>
    <t>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De acordo com o relatório (p. 185), os custos com pessoal e serviços contratados do aeroporto são comparados com aeroportos de porte similar operados pela Infraero e ASGA.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SBCG. Portanto, carece de fundamentação a utilização de SBSG como referência de custo.</t>
  </si>
  <si>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Não foram computadas eventuais sinergias decorrente da operação conjunta de SBSP e SBMT considerando a proximidade dos dois aeroportos.
De acordo com o relatório (p. 168),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SBMT. Portanto, carece de fundamentação a utilização de SBSG como referência de custo.
</t>
  </si>
  <si>
    <t>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De acordo com o relatório,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SBCG. Portanto, carece de fundamentação a utilização de SBSG como referência de custo.</t>
  </si>
  <si>
    <t>No item 7.1 do relatório,  o consórcio não explicitou quais rubricas de receita não-tarifária considerou sujeitas a ISS. Dada a informação disponível, poderia ter estimado o percentual de receitas não-tarifárias sujeitas a ISS a partir de valores históricos de concessionárias de aeroportos. Dessa forma, também não considerou eventuais serviços que possam ser prestados pelo futuro concessionário que seriam sujeitos a ISS.
O relatório utiliza como benchmark para recuperação de crédito PIS/COFINS amostra de aeroportos quando ainda operados pela Infraero, sem apresentar referências recentes de aeroportos concedidos ou estimativas de consultoria especializada.</t>
  </si>
  <si>
    <r>
      <rPr>
        <sz val="11"/>
        <rFont val="Times New Roman"/>
        <family val="1"/>
      </rPr>
      <t xml:space="preserve">Em que pese identificar a ausência no Data Room de alguns contratos comerciais existentes, o consórcio não realiza o due diligence desses contratos, se restringindo a informar que a análise não foi feita, pois a informação não estava no DR. </t>
    </r>
    <r>
      <rPr>
        <b/>
        <sz val="11"/>
        <rFont val="Times New Roman"/>
        <family val="1"/>
      </rPr>
      <t xml:space="preserve">
</t>
    </r>
  </si>
  <si>
    <t xml:space="preserve">A elasticidade utilizada para definição do índice de comissão de vendas para as receitas de varejo é a mesma para todos os aeroportos e não considera as especificidades e diferentes perfis do consumidor de cada aeroporto.
A projeção das  receitas não tarifárias não prevê os potenciais upsides na celebração de novos contratos pelo operador privado quando do término dos contratos atuais.
O benchmark utilizado para validação dos níveis atuais das rubricas de receitas não tarifárias é frágil, pois conta com apenas um aeroporto operado por privado, e assim, não captura os ganhos da gestão privada sobre a gestão pública no que se refere a exploração comercial do aeroporto. Ademais, para as receitas abaixo do benchmark, considera-se a incorporação de novos contratos de forma que a receita unitária se iguale apenas ao primeiro quartil dos "comparáveis".
Não há justificativa para manutenção de valores constantes de receitas advindas da exploração de real state
</t>
  </si>
  <si>
    <t xml:space="preserve">A elasticidade utilizada para definição do índice de comissão de vendas para as receitas de varejo é a mesma para todos os aeroportos e não considera as especificidades e diferentes perfis do consumidor de cada aeroporto.
A projeção das  receitas não tarifárias não prevê os potenciais upsides na celebração de novos contratos pelo operador privado quando do término dos contratos atuais.
O benchmark utilizado para validação dos níveis atuais das rubricas de receitas não tarifárias é frágil, pois conta  apenas com aeroportos operados pela Infraero, e assim, não captura os ganhos da gestão privada sobre a gestão pública no que se refere a exploração comercial do aeroporto. 
O valor projetado para as receitas com locadoras de veículos no primeiro ano completo da concessão estão abaixo dos mínimos pactuados nos contratos existentes. 
</t>
  </si>
  <si>
    <r>
      <rPr>
        <sz val="11"/>
        <rFont val="Times New Roman"/>
        <family val="1"/>
      </rPr>
      <t>A elasticidade utilizada para definição do índice de comissão de vendas para as receitas de varejo é a mesma para todos os aeroportos e não considera as especificidades e diferentes perfis do consumidor de cada aeroporto.
A análise de benchmarks por rubrica de receita não tarifária é restrita e frágil, limitando-se a aeroportos AVG operados pela Infraero. Além de aeroportos similares operados por privados, o estudo poderia ter considerado para alguns benchmarks de receitas não tarifárias, negócios na proximidade do aeroporto, considerando se tratar de um caso de aeroporto que tem grande parte de suas receitas não tarifárias correlacionadas a localização do aeroporto e não com o processamento de passageiros.</t>
    </r>
    <r>
      <rPr>
        <sz val="11"/>
        <color rgb="FFFF0000"/>
        <rFont val="Times New Roman"/>
        <family val="1"/>
      </rPr>
      <t xml:space="preserve">
</t>
    </r>
    <r>
      <rPr>
        <sz val="11"/>
        <color theme="1"/>
        <rFont val="Times New Roman"/>
        <family val="1"/>
      </rPr>
      <t xml:space="preserve">
A projeção das  receitas não tarifárias não prevê os potenciais upsides na celebração de novos contratos pelo operador privado quando do término dos contratos atuais. 
Não há justificativa para manutenção de valores constantes de receitas advindas da exploração de real state.
</t>
    </r>
  </si>
  <si>
    <t>A elasticidade utilizada para definição do índice de comissão de vendas para as receitas de varejo é a mesma para todos os aeroportos e não considera as especificidades e diferentes perfis do consumidor de cada aeroporto.
A projeção das  receitas não tarifárias não prevê os potenciais upsides na celebração de novos contratos pelo operador privado quando do término dos contratos atuais.
O benchmark utilizado para validação dos níveis atuais das rubricas de receitas não tarifárias é frágil, pois conta  apenas com  aeroportos operados pela Infraero, e assim, não captura os ganhos da gestão privada sobre a gestão pública, especialmente no que se refere a exploração comercial do aeroporto.</t>
  </si>
  <si>
    <t xml:space="preserve">A elasticidade utilizada para definição do índice de comissão de vendas para as receitas de varejo é a mesma para todos os aeroportos e não considera as especificidades e diferentes perfis do consumidor de cada aeroporto.
A projeção das  receitas não tarifárias não prevê os potenciais upsides na celebração de novos contratos pelo operador privado quando do término dos contratos atuais.
O benchmark utilizado para validação dos níveis atuais das rubricas de receitas não tarifárias é frágil, pois conta  apenas com  aeroportos operados pela Infraero, e assim, não captura os ganhos da gestão privada sobre a gestão pública, especialmente no que se refere a exploração comercial do aeroporto.
Não há justificativa para manutenção de valores constantes de receitas advindas da exploração de real state a partir de 2030.
A projeção de receita com publicidade para 2019 considera apenas o preço fixo mensal e não o preço variável adicional de 30% sobre o faturamento para definição do baseline da projeção. 
</t>
  </si>
  <si>
    <t xml:space="preserve">A elasticidade utilizada para definição do índice de comissão de vendas para as receitas de varejo é a mesma para todos os aeroportos e não considera as especificidades e diferentes perfis do consumidor de cada aeroporto.
A projeção das  receitas não tarifárias não prevê os potenciais upsides na celebração de novos contratos pelo operador privado quando do término dos contratos atuais.
O benchmark utilizado para validação dos níveis atuais das rubricas de receitas não tarifárias é frágil, pois conta  apenas com  aeroportos operados pela Infraero, e assim, não captura os ganhos da gestão privada sobre a gestão pública, especialmente no que se refere a exploração comercial do aeroporto.
Não há justificativa para manutenção de valores constantes de receitas advindas da exploração de real state a partir de 2030.
</t>
  </si>
  <si>
    <t>A elasticidade utilizada para definição do índice de comissão de vendas para as receitas de varejo é  a mesma para todos os aeroportos e não considera as especificidades e diferentes perfis do consumidor de cada aeroporto.
A projeção das  receitas não tarifárias não prevê os potenciais upsides na celebração de novos contratos pelo operador privado quando do término dos contratos atuais.
O benchmark utilizado para validação dos níveis atuais das rubricas de receitas não tarifárias é frágil, pois conta  apenas com  aeroportos operados pela Infraero, e assim, não captura os ganhos da gestão privada sobre a gestão pública, especialmente no que se refere a exploração comercial do aeroporto.</t>
  </si>
  <si>
    <t xml:space="preserve">A elasticidade utilizada para definição do índice de comissão de vendas para as receitas de varejo é a mesma para todos os aeroportos e não considera as especificidades e diferentes perfis do consumidor de cada aeroporto.
A projeção das  receitas não tarifárias não prevê os potenciais upsides na celebração de novos contratos pelo operador privado quando do término dos contratos atuais.
O benchmark utilizado para validação dos níveis atuais das rubricas de receitas não tarifárias é frágil, pois conta  apenas com  aeroportos operados pela Infraero, e assim, não captura os ganhos da gestão privada sobre a gestão pública, especialmente no que se refere a exploração comercial do aeroporto.
Em que pese haver grande volume de área disponível no sítio aeroportuário ociosa, o estudo afirma que pela indisponibilidade de novas áreas para exploração comercial fora do TPS, não haverá a exploração de novas receitas assossiadas ao desenvolvimento imobiliário. Ademais, as receitas existentes referentes à exploração imobiliária são consideradas constantes ao longo do periodo da concessão.
</t>
  </si>
  <si>
    <t xml:space="preserve">A elasticidade utilizada para definição do índice de comissão de vendas para as receitas de varejo é a mesma para todos os aeroportos e não considera as especificidades e diferentes perfis do consumidor de cada aeroporto.
A projeção das  receitas não tarifárias não prevê os potenciais upsides na celebração de novos contratos pelo operador privado quando do término dos contratos atuais.
Em que pese utilizar benchmark de aeroportos com operadores públicos e privados para validar o conjunto das receitas agregadas (tarifárias e não tarifárias), o benchmark utilizado para validação dos níveis atuais das rubricas de receitas não tarifárias é frágil, pois utiliza apenas aeroportos operados pela Infraero e não por operadores privados, especialmente em se tratando de um ativo com o valor comercial de SBSP.
Não há justificativa para manutenção de valores constantes de receitas advindas da exploração de real state, considerando que os contratos atuais prevêm parcela de receita variável.
</t>
  </si>
  <si>
    <t xml:space="preserve">A elasticidade utilizada para definição do índice de comissão de vendas para as receitas de varejo é a mesma para todos os aerportos e não considera as especificidades e diferentes perfis do consumidor de cada aeroporto.
A projeção das  receitas não tarifárias não prevê os potenciais upsides na celebração de novos contratos pelo operador privado quando do término dos contratos atuais.
O benchmark utilizado para validação dos níveis atuais das rubricas de receitas não tarifárias é frágil, pois conta com apenas um aeroporto operado por privado, e assim, não captura os ganhos da gestão privada sobre a gestão pública no que se refere a exploração comercial do aeroporto. 
</t>
  </si>
  <si>
    <r>
      <rPr>
        <sz val="11"/>
        <rFont val="Times New Roman"/>
        <family val="1"/>
      </rPr>
      <t>A elasticidade utilizada para definição do índice de comissão de vendas para as receitas de varejo é a mesma para todos os aeroportos e não considera as especificidades e diferentes perfis do consumidor de cada aeroporto.
A análise de benchmarks por rubrica de receita não tarifária é restrita e frágil, limitando-se a aeroportos AVG operados pela Infraero. Além de aeroportos similares operados por privados, o estudo poderia ter considerado para alguns benchmarks de receitas não tarifárias, negócios na proximidade do aeroporto, considerando se tratar de um caso de aeroporto que tem grande parte de suas receitas não tarifárias correlacionadas a localização do aeroporto e não com o processamento de passageiros.</t>
    </r>
    <r>
      <rPr>
        <sz val="11"/>
        <color rgb="FFFF0000"/>
        <rFont val="Times New Roman"/>
        <family val="1"/>
      </rPr>
      <t xml:space="preserve">
</t>
    </r>
    <r>
      <rPr>
        <sz val="11"/>
        <color theme="1"/>
        <rFont val="Times New Roman"/>
        <family val="1"/>
      </rPr>
      <t xml:space="preserve">
A projeção das  receitas não tarifárias não prevê os potenciais upsides na celebração de novos contratos pelo operador privado quando do término dos contratos atuais. 
Não há justificativa para manutenção de valores constantes de receitas advindas da exploração de real state, considerando que os contratos atuais prevêm parcela de receita variável.
</t>
    </r>
  </si>
  <si>
    <t xml:space="preserve">A elasticidade utilizada para definição do índice de comissão de vendas para as receitas de varejo não considera as especificidades e diferentes perfis do consumidor de cada aeroporto.
A projeção das  receitas não tarifárias não prevê os potenciais upsides na celebração de novos contratos pelo operador privado quando do término dos contratos atuais.
</t>
  </si>
  <si>
    <t xml:space="preserve">A elasticidade utilizada para definição do índice de comissão de vendas para as receitas de varejo não considera as especificidades e diferentes perfis do consumidor de cada aeroporto.
A projeção das  receitas não tarifárias não prevê os potenciais upsides na celebração de novos contratos pelo operador privado quando do término dos contratos atuais.
</t>
  </si>
  <si>
    <t xml:space="preserve">O financiamento poderia ter sido customizado de modo a que as parcelas de despesa financeira estivessem mais aderentes ao covenant ICSD aumentando o valor  a ser captado no financiamento do projeto.
O modelo apresenta como o formato mais vantajoso para o acionista o financiamento com captação única no segundo ciclo de CAPEX através de empréstimo via Fundos Constitucionais e debêntures. No entanto, não é possível verificar se formatos alternativos de financiamento seriam mais vantajosos para o acionista. Cabe ressaltar que a planilha 'Sensibilidade_Financiamento' não permite rastrear os cálculos que justificam os resultados apresentados.
A análise da estrutura de financiamento do projeto não considerou que o fator de ajuste alfa da TLP, será igual a 1 a partir de 2023 (ano de estruturação do financiamento), quando a TLP-Pré igualará a taxa de juro real da NTN-B.
</t>
  </si>
  <si>
    <t>Não há foi apresentada a memória de cálculo utilizada para a definição do ticket médio da carga. Ademais, utilizou-se como referência aeroportos com infraestrutura bastante distinta daquela experimentada por SBRJ ao longo da concessão, especialmente a PPD reduzida que inviabiliza a operação de aeronaves cargueiras de maior porte. 
O modelo financeiro deveria ter deflacionado a RTP estabelecida pela Portaria SRA/ANAC nº 3642, de 09 de dezembro de 2020, considerando que a mesma estabelece o tarifário a ser praticado no ano de 2021 e o modelo está a preços de outubro de 2020. 
A modelagem apresentada no estudo para as receitas tarifárias reguladas utiliza a linha de Tarifa de Embarque Doméstico como variável de ajuste para não ultrapassar a receita-teto por passageiro a cada ano. O estudo não justifica a escolha estratégica ou mercadológica dessa metodologia. Entende-se que o ajuste pela RTP deveria ter sido feito, ex-post, sobre a linha de Receita Tarifária Total, após a projeção de receitas por linha tarifária com a devida justificativa para os ajustes tarifários propostos.</t>
  </si>
  <si>
    <t xml:space="preserve">Diferentemente da prática mais recente do BNDES, o modelo não admite a possibilidade de financiamento da contribuição inicial. 
O financiamento poderia ter sido customizado de modo a que as parcelas de despesa financeira estivessem mais aderentes ao covenant ICSD, aumentando o valor  a ser captado no financiamento do projeto.
O modelo apresenta como o formato mais vantajoso para o acionista o financiamento com captação única através de empréstimo do BNDES e debêntures. No entanto, não é possível verificar se formatos alternativos de financiamento seriam mais vantajosos para o acionista. Cabe ressaltar que a planilha 'Sensibilidade_Financiamento' não permite rastrear os cálculos que justificam os resultados apresentados.
Em que pese o relatório informe ser possível prazo de carência do principal de 72 meses para empréstimos via BNDES, o modelo adota o prazo de 24 meses. No entanto, o prazo de carência usualmente adotado pelo BNDES em empréstimos para concessionárias de aeroportos é de 42 meses (36 meses da fase 1B + 6 meses). Portanto, o modelo utiliza premissa diferente daquela praticada pelo BNDES.
</t>
  </si>
  <si>
    <t xml:space="preserve">Diferentemente da prática mais recente do BNDES, o modelo não admite a possibilidade de financiamento da contribuição inicial.
O financiamento poderia ter sido customizado de modo a que as parcelas de despesa financeira estivessem mais aderentes ao covenant ICSD aumentando o valor  a ser captado no financiamento do projeto.
O modelo apresenta como o formato mais vantajoso para o acionista o financiamento com captação única através de empréstimo do BNDES e debêntures. No entanto, não é possível verificar se formatos alternativos de financiamento seriam mais vantajosos para o acionista. Cabe ressaltar que a planilha 'Sensibilidade_Financiamento' não permite rastrear os cálculos que justificam os resultados apresentados.
Em que pese o relatório informe ser possível prazo de carência do principal de 72 meses para empréstimos via BNDES, o modelo adota o prazo de 24 meses. No entanto, o prazo de carência usualmente adotado pelo BNDES em empréstimos para concessionárias de aeroportos é de 42 meses (36 meses da fase 1B + 6 meses). Portanto, o modelo utiliza premissa diferente daquela praticada pelo BNDES.
</t>
  </si>
  <si>
    <t xml:space="preserve">Diferentemente da prática mais recente do BNDES, o modelo não admite a possibilidade de financiamento da contribuição inicial.
O financiamento poderia ter sido customizado de modo a que as parcelas de despesa financeira estivessem mais aderentes ao covenant ICSD aumentando o valor  a ser captado no financiamento do projeto. 
Em que pese o relatório informe ser possível prazo de carência do principal de 72 meses para empréstimos via BNDES, o modelo adota o prazo de 24 meses. O modelo não permite verificar de maneira adequada o impacto de prazos maiores de carência sobre a TIR do acionista, pois a ampliação do prazo na aba 'Financiamento_LP' não impede o pagamento de dividendos durante a carência do principal. Portanto, não é possível verificar se o formato de financiamento proposto é o mais indicado para o projeto.
O modelo apresenta como o formato mais vantajoso para o acionista o financiamento com captação única através de empréstimo do BNDES e debêntures. No entanto, não é possível verificar se formatos alternativos de financiamento seriam mais vantajosos para o acionista. Cabe ressaltar que a planilha 'Sensibilidade_Financiamento' não permite rastrear os cálculos que justificam os resultados apresentados.
</t>
  </si>
  <si>
    <t xml:space="preserve">O financiamento poderia ter sido customizado de modo a que as parcelas de despesa financeira estivessem mais aderentes ao covenant ICSD aumentando o valor  a ser captado no financiamento do projeto.
O modelo apresenta como o formato mais vantajoso para o acionista o financiamento com captação única através de empréstimo via Fundos Constitucionais e debêntures. No entanto, não é possível verificar se formatos alternativos de financiamento seriam mais vantajosos para o acionista. Cabe ressaltar que a planilha 'Sensibilidade_Financiamento' não permite rastrear os cálculos que justificam os resultados apresentados.
</t>
  </si>
  <si>
    <t xml:space="preserve">O financiamento poderia ter sido customizado de modo a que as parcelas de despesa financeira estivessem mais aderentes ao covenant ICSD aumentando o valor  a ser captado no financiamento do projeto.
O modelo apresenta como o formato mais vantajoso para o acionista o financiamento com captação única através de empréstimo do BNDES e debêntures. No entanto, não é possível verificar se formatos alternativos de financiamento seriam mais vantajosos para o acionista. Cabe ressaltar que a planilha 'Sensibilidade_Financiamento' não permite rastrear os cálculos que justificam os resultados apresentados.
Em que pese o relatório informe ser possível prazo de carência do principal de 72 meses para empréstimos via BNDES, o modelo adota o prazo de 24 meses. No entanto, o prazo de carência usualmente adotado pelo BNDES em empréstimos para concessionárias de aeroportos é de 42 meses (36 meses da fase 1B + 6 meses). Portanto, o modelo utiliza premissa diferente daquela praticada pelo BNDES.
</t>
  </si>
  <si>
    <t xml:space="preserve">O modelo apresenta como o formato mais vantajoso para o acionista o financiamento com captação única através de empréstimo via Fundos Constitucionais e debêntures. No entanto, não é possível verificar se formatos alternativos de financiamento seriam mais vantajosos para o acionista. Cabe ressaltar que a planilha 'Sensibilidade_Financiamento' não permite rastrear os cálculos que justificam os resultados apresentados.
</t>
  </si>
  <si>
    <t xml:space="preserve">O financiamento poderia ter sido customizado de modo a que as parcelas de despesa financeira estivessem mais aderentes ao covenant ICSD aumentando o valor  a ser captado no financiamento do projeto.
O modelo apresenta como o formato mais vantajoso para o acionista o financiamento com captação única no segundo ciclo de CAPEX através de empréstimo via Fundos Constitucionais e debêntures. No entanto, não é possível verificar se formatos alternativos de financiamento seriam mais vantajosos para o acionista. Cabe ressaltar que a planilha 'Sensibilidade_Financiamento' não permite rastrear os cálculos que justificam os resultados apresentados.
</t>
  </si>
  <si>
    <t>A elasticidade utilizada para definição do índice de comissão de vendas para as receitas de varejo é a mesma para todos os aeroportos e não considera as especificidades e diferentes perfis do consumidor de cada aeroporto.
A projeção das  receitas não tarifárias não prevê os potenciais upsides na celebração de novos contratos pelo operador privado, além de novas luvas, quando do término dos contratos atuais. De fato, apenas os contratos de estacionamento e real estate consideram upsides na celebração de  novos contratos entre privados, e ainda com benchmark de contratos comerciais celebrados pela Infraero e não por operadores privados.
O benchmark utilizado para validação dos níveis atuais das rubricas de receitas não tarifárias é frágil, pois utiliza apenas 3 aeroportos e, ademais, todos eles operados pela Infraero e não por operadores privados.
Não há justificativa para manutenção de valores constantes de receitas advindas da exploração de real estate.</t>
  </si>
  <si>
    <t>A análise SWOT não explora devidamente os elementos  e características específicos do aeroporto, sendo por vezes superficial e genérica. Eventuais oportunidades de desenvolvimento ou ameaças ao modelo de negócio proposto não são abordados com a profundidade esperada, sendo insuficiente no estudo o detalhamento de aspectos intrínsecos e particulares do aeroporto estudado. Ademais, a análise de fatores externos aborda questões que não são aplicáveis ao aeroporto em tela, tendo sido feita de forma geral para todos os aeroportos do bloco. 
No Capítulo 24, na análise SWOT, o relatório aponta como oportunidade: "Entrada de companhias Low Cost". Entretanto, o estudo aponta como fraqueza do aeroporto "Sítio aeroportuário com área restrita e capacidade saturada". Assim, o estudo não descreve como poderia haver a entrada de companhias low cost em uma infraestrutura concentrada e saturada, fatores que tipicamente afastam a presença deste segmento, o qual estaria mais inclinado a operar no SBGL.  
Na análise SWOT o estudo aponta como oportunidade: "Enquadramento no REIDI". Entretanto, o Decreto nº 6.144/2007, em seu Artigo 6º, Parágrafo 1º, Inciso I, veda a aplicação do REIDI em projetos em que não tenha sido considerado o impacto de sua aplicação na sua estruturação. 
A matriz SWOT poderia ter identificado o modelo de regulação definido por RTP como uma fraqueza para a atração de novos voos internacionais pelo concessionário.</t>
  </si>
  <si>
    <t xml:space="preserve">Em que pese o bloco contenha aeroportos que se diferenciam bastante entre si (i.e. movimentação, perfil de tráfego, projeção de crescimento etc), os modelos desenvolvidos utilizam os mesmo valores de elasticidade para projetar os gastos com OPEX. Em função disso, as especificidades dos aeroportos tendem a ser desconsideradas nas projeções de OPEX.
Uma vez que não há dados históricos no aeroporto para armazenagem e capatazia, o custo de referência para a projeção foi calculado utilizando-se o benchmark de aeroportos comparáveis. Entretanto, não foi esclarecido o critério utilizado para a seleção de benchmarks.
Na conta 'Despesas gerais', a modelagem dos custos fixos e variáveis é feita de maneira idêntica: calcula-se um custo de referência baseado nas demonstrações financeiras do ano 2019 e projeta-se a evolução do custo utilizando-se a elasticidade extraída da base de dados de aeroportos da Infraero. Portanto, a modelagem dos custos fixos desconsidera os efeitos de eventos relevantes, como a aquisição de novos equipamentos e/ou a ampliação de áreas do TPS. 
Não foram computadas eventuais sinergias decorrentes da operação conjunta de SBRJ e SBJR considerando a proximidade dos dois aeroportos.
De acordo com o relatório (p. 190), os custos com pessoal e serviços contratados do aeroporto são comparados com aeroportos de porte similar operados pela Infraero. Em que pese essa opção seja justificada pela impossibilidade de obter dados operacionais  de outros aeroportos com nível comparável de organização, a ausência de informações sobre outros aeroportos torna menos representativa a análise de benchmark, fragilizando, assim, a robustez do modelo.
Ao estimar o custo unitário com bombeiro, utiliza-se o valor observado no Aeroporto de São Gonçalo do Amarante (SBSG), localizado na região metropolitana de Natal/RN. Entretanto, a escolha é motivada pela disponibilidade de dados de SBSG e não por alguma similaridade nas estruturas de custos de SBSG e SBRJ. Portanto, carece de fundamentação a utilização de SBSG como referência de custo.
</t>
  </si>
  <si>
    <t>O ano quebrado de payback (célula E124 da planilha 'MF') e o ano quebrado de payback descontado (célula E130 da planilha 'MF') estão descritos de maneira equivocada.
O Estudo aponta erroneamente que a data prevista para assinatura do contrato seria 1º de janeiro de 2023. Conforme diretriz da SAC, esta seria a data de início da concessão, portanto, a data de eficácia do contrato. De fato, diversos marcos e parâmetros da modelagem proposta pelo consórcio, como as fases de transição e o pagamento das contribuições variáveis, consideram de forma correta a eficácia do contrato em 1º de janeiro de 2023. Entretanto, outros parâmetros como o pagamento da contribuição incial e das obrigações prévias à assinatura do contrato foram incorretamente computados no ano de 2023 e não em 2022, impactando os fluxos de caixa, os indicadores de viabilidade do projeto e as demosntrações contábeis.
Na modelagem proposta os fluxos de caixa livre do projeto deveriam ter sido descontados para o ano de 2023 (início dos desembolsos) e não para o ano de 2022. 
A modelagem em bases mensais traria maior aderência à realidade do projeto. Ademais, em que pese afirmar que o fator de desconto dos fluxos de caixa foi definido com base em ótica mensal, não se constata tal evidência no modelo financeiro, conforme verifica-se, por exemplo, do fator de desconto utilizado para o pagamento da outorga variável a ser efetuado em maio do ano de 2053.</t>
  </si>
  <si>
    <t>O relatório utiliza como benchmark para PECLD média de amostra de aeroportos com perfis de receitas distintos e não considera perda esperada de crédito conforme IFRS 9/CPC 48.</t>
  </si>
  <si>
    <t xml:space="preserve">OK
</t>
  </si>
  <si>
    <r>
      <t>A análise SWOT não explora devidamente os elementos  e características específicos do aeroporto, sendo por vezes superficial e genérica. Eventuais oportunidades de desenvolvimento ou ameaças ao modelo de negócio proposto não são abordados com a profundidade esperada, sendo insuficiente no estudo o detalhamento de aspectos intrínsecos e particulares do aeroporto estudado. Ademais, a análise de fatores externos aborda questões que não são aplicáveis ao aeroporto em tela, tendo sido feita de forma geral para todos os aeroportos do bloco. 
Na análise SWOT, o relatório aponta como oportunidade: "</t>
    </r>
    <r>
      <rPr>
        <i/>
        <sz val="11"/>
        <rFont val="Times New Roman"/>
        <family val="1"/>
      </rPr>
      <t>Entrada de companhias Low Cost</t>
    </r>
    <r>
      <rPr>
        <sz val="11"/>
        <rFont val="Times New Roman"/>
        <family val="1"/>
      </rPr>
      <t>". Entretanto, o estudo aponta como fraqueza do aeroporto "</t>
    </r>
    <r>
      <rPr>
        <i/>
        <sz val="11"/>
        <rFont val="Times New Roman"/>
        <family val="1"/>
      </rPr>
      <t>Sítio aeroportuário com área restrita e capacidade saturada</t>
    </r>
    <r>
      <rPr>
        <sz val="11"/>
        <rFont val="Times New Roman"/>
        <family val="1"/>
      </rPr>
      <t>". Assim, o estudo não descreve como poderia haver a entrada de companhias low cost em uma infraestrutura concentrada e saturada, fatores que tipicamente afastam a presença deste segmento, o qual estaria mais inclinado a operar no SBGR ou SBKP. 
Na análise SWOT, o estudo aponta como oportunidade: "</t>
    </r>
    <r>
      <rPr>
        <i/>
        <sz val="11"/>
        <rFont val="Times New Roman"/>
        <family val="1"/>
      </rPr>
      <t>Enquadramento no REIDI</t>
    </r>
    <r>
      <rPr>
        <sz val="11"/>
        <rFont val="Times New Roman"/>
        <family val="1"/>
      </rPr>
      <t xml:space="preserve">". Entretanto, o Decreto nº 6.144/2007, em seu Artigo 6º, Parágrafo 1º, Inciso I, veda a aplicação do REIDI em projetos em que não tenha sido considerado o impacto de sua aplicação na sua estruturação. 
A matriz SWOT poderia ter identificado o modelo de regulação definido por RTP como uma fraqueza para a atração de novos voos internacionais pelo concessionário.
</t>
    </r>
  </si>
  <si>
    <r>
      <t>A análise SWOT não explora devidamente os elementos  e características específicos do aeroporto, sendo por vezes superficial e genérica. Eventuais oportunidades de desenvolvimento ou ameaças ao modelo de negócio proposto não são abordados com a profundidade esperada, sendo insuficiente no estudo o detalhamento de aspectos intrínsecos e particulares do aeroporto estudado. Ademais, a análise de fatores externos aborda questões que não são aplicáveis ao aeroporto em tela, tendo sido feita de forma geral para todos os aeroportos do bloco. 
Na análise SWOT, o estudo aponta como oportunidade: "</t>
    </r>
    <r>
      <rPr>
        <i/>
        <sz val="11"/>
        <rFont val="Times New Roman"/>
        <family val="1"/>
      </rPr>
      <t>Enquadramento no REIDI</t>
    </r>
    <r>
      <rPr>
        <sz val="11"/>
        <rFont val="Times New Roman"/>
        <family val="1"/>
      </rPr>
      <t xml:space="preserve">". Entretanto, o Decreto nº 6.144/2007, em seu Artigo 6º, Parágrafo 1º, Inciso I, veda a aplicação do REIDI em projetos em que não tenha sido considerado o impacto de sua aplicação na sua estruturação. 
</t>
    </r>
  </si>
  <si>
    <r>
      <t>A análise SWOT não explora devidamente os elementos  e características específicos do aeroporto, sendo por vezes superficial e genérica. Eventuais oportunidades de desenvolvimento ou ameaças ao modelo de negócio proposto não são abordados com a profundidade esperada, sendo insuficiente no estudo o detalhamento de aspectos intrínsecos e particulares do aeroporto estudado. Ademais, a análise de fatores externos aborda questões que não são aplicáveis ao aeroporto em tela, tendo sido feita de forma geral para todos os aeroportos do bloco. 
Na análise SWOT, o estudo aponta como oportunidade: "</t>
    </r>
    <r>
      <rPr>
        <i/>
        <sz val="11"/>
        <rFont val="Times New Roman"/>
        <family val="1"/>
      </rPr>
      <t>Enquadramento no REIDI</t>
    </r>
    <r>
      <rPr>
        <sz val="11"/>
        <rFont val="Times New Roman"/>
        <family val="1"/>
      </rPr>
      <t xml:space="preserve">". Entretanto, o Decreto nº 6.144/2007, em seu Artigo 6º, Parágrafo 1º, Inciso I, veda a aplicação do REIDI em projetos em que não tenha sido considerado o impacto de sua aplicação na sua estruturação. </t>
    </r>
  </si>
  <si>
    <r>
      <t>A análise SWOT não explora devidamente os elementos  e características específicos do aeroporto, sendo por vezes superficial e genérica. Eventuais oportunidades de desenvolvimento ou ameaças ao modelo de negócio proposto não são abordados com a profundidade esperada, sendo insuficiente no estudo o detalhamento de aspectos intrínsecos e particulares do aeroporto estudado. Ademais, a análise de fatores externos aborda questões que não são aplicáveis ao aeroporto em tela, tendo sido feita de forma geral para todos os aeroportos do bloco. 
Na análise SWOT, o estudo aponta como oportunidade: "</t>
    </r>
    <r>
      <rPr>
        <i/>
        <sz val="11"/>
        <color theme="1"/>
        <rFont val="Times New Roman"/>
        <family val="1"/>
      </rPr>
      <t>Enquadramento no REIDI</t>
    </r>
    <r>
      <rPr>
        <sz val="11"/>
        <color theme="1"/>
        <rFont val="Times New Roman"/>
        <family val="1"/>
      </rPr>
      <t xml:space="preserve">". Entretanto, o Decreto nº 6.144/2007, em seu Artigo 6º, Parágrafo 1º, Inciso I, veda a aplicação do REIDI em projetos em que não tenha sido considerado o impacto de sua aplicação na sua estruturação. 
</t>
    </r>
  </si>
  <si>
    <r>
      <t>A análise SWOT não explora devidamente os elementos  e características específicos do aeroporto, sendo por vezes superficial e genérica. Eventuais oportunidades de desenvolvimento ou ameaças ao modelo de negócio proposto não são abordados com a profundidade esperada, sendo insuficiente no estudo o detalhamento de aspectos intrínsecos e particulares do aeroporto estudado. Ademais, a análise de fatores externos aborda questões que não são aplicáveis ao aeroporto em tela, tendo sido feita de forma geral para todos os aeroportos do bloco. 
Na análise SWOT, o relatório se contradiz apontando como força que o "sítio aeroportuário poderá acomodar readequação/ expansão da área de sistema de pátio e TPS, equilibrando as capacidades dos diferentes sistemas do Aeroporto" e como fraqueza a "necessidade de desapropriação de áreas densamente povoadas para implantação do Plano de Desenvolvimento" (pag. 77).
Na análise SWOT, o estudo aponta como oportunidade: "</t>
    </r>
    <r>
      <rPr>
        <i/>
        <sz val="11"/>
        <rFont val="Times New Roman"/>
        <family val="1"/>
      </rPr>
      <t>Enquadramento no REIDI</t>
    </r>
    <r>
      <rPr>
        <sz val="11"/>
        <rFont val="Times New Roman"/>
        <family val="1"/>
      </rPr>
      <t xml:space="preserve">". Entretanto, o Decreto nº 6.144/2007, em seu Artigo 6º, Parágrafo 1º, Inciso I, veda a aplicação do REIDI em projetos em que não tenha sido considerado o impacto de sua aplicação na sua estruturação. 
</t>
    </r>
  </si>
  <si>
    <r>
      <t>A análise SWOT não explora devidamente os elementos  e características específicos do aeroporto, sendo por vezes superficial e genérica. Eventuais oportunidades de desenvolvimento ou ameaças ao modelo de negócio proposto não são abordados com a profundidade esperada, sendo insuficiente no estudo o detalhamento de aspectos intrínsecos e particulares do aeroporto estudado. Ademais, a análise de fatores externos aborda questões que não são aplicáveis ao aeroporto em tela, tendo sido feita de forma geral para todos os aeroportos do bloco.
Na análise SWOT, o relatório se contradiz apontando como força que o "</t>
    </r>
    <r>
      <rPr>
        <i/>
        <sz val="11"/>
        <rFont val="Times New Roman"/>
        <family val="1"/>
      </rPr>
      <t>sítio aeroportuário poderá acomodar readequação/ expansão da área de sistema de pátio e TPS, equilibrando as capacidades dos diferentes sistemas do Aeroporto</t>
    </r>
    <r>
      <rPr>
        <sz val="11"/>
        <rFont val="Times New Roman"/>
        <family val="1"/>
      </rPr>
      <t>" e como fraqueza a "</t>
    </r>
    <r>
      <rPr>
        <i/>
        <sz val="11"/>
        <rFont val="Times New Roman"/>
        <family val="1"/>
      </rPr>
      <t>necessidade de desapropriação de áreas densamente povoadas para implantação do Plano de Desenvolvimento</t>
    </r>
    <r>
      <rPr>
        <sz val="11"/>
        <rFont val="Times New Roman"/>
        <family val="1"/>
      </rPr>
      <t>" (pag. 77).
Na análise SWOT, o estudo aponta como oportunidade: "</t>
    </r>
    <r>
      <rPr>
        <i/>
        <sz val="11"/>
        <rFont val="Times New Roman"/>
        <family val="1"/>
      </rPr>
      <t>Enquadramento no REIDI</t>
    </r>
    <r>
      <rPr>
        <sz val="11"/>
        <rFont val="Times New Roman"/>
        <family val="1"/>
      </rPr>
      <t xml:space="preserve">". Entretanto, o Decreto nº 6.144/2007, em seu Artigo 6º, Parágrafo 1º, Inciso I, veda a aplicação do REIDI em projetos em que não tenha sido considerado o impacto de sua aplicação na sua estruturação. 
</t>
    </r>
  </si>
  <si>
    <r>
      <t>A análise SWOT não explora devidamente os elementos  e características específicos do aeroporto, sendo por vezes superficial e genérica. Eventuais oportunidades de desenvolvimento ou ameaças ao modelo de negócio proposto não são abordados com a profundidade esperada, sendo insuficiente no estudo o detalhamento de aspectos intrínsecos e particulares do aeroporto estudado. Ademais, a análise de fatores externos aborda questões que não são aplicáveis ao aeroporto em tela, tendo sido feita de forma geral para todos os aeroportos do bloco.  
Na análise SWOT, o estudo aponta como oportunidade: "</t>
    </r>
    <r>
      <rPr>
        <i/>
        <sz val="11"/>
        <rFont val="Times New Roman"/>
        <family val="1"/>
      </rPr>
      <t>Enquadramento no REIDI</t>
    </r>
    <r>
      <rPr>
        <sz val="11"/>
        <rFont val="Times New Roman"/>
        <family val="1"/>
      </rPr>
      <t>". Entretanto, o Decreto nº 6.144/2007, em seu Artigo 6º, Parágrafo 1º, Inciso I, veda a aplicação do REIDI em projetos em que não tenha sido considerado o impacto de sua aplicação na sua estruturação. 
Na análise SWOT (pag. 79), faltou o termo PPD - "</t>
    </r>
    <r>
      <rPr>
        <i/>
        <sz val="11"/>
        <rFont val="Times New Roman"/>
        <family val="1"/>
      </rPr>
      <t>Comprimento da condizente com o porte e demanda projetada (2.100m)</t>
    </r>
    <r>
      <rPr>
        <sz val="11"/>
        <rFont val="Times New Roman"/>
        <family val="1"/>
      </rPr>
      <t xml:space="preserve">".
</t>
    </r>
  </si>
  <si>
    <r>
      <t>A análise SWOT não explora devidamente os elementos  e características específicos do aeroporto, sendo por vezes superficial e genérica. Eventuais oportunidades de desenvolvimento ou ameaças ao modelo de negócio proposto não são abordados com a profundidade esperada, sendo insuficiente no estudo o detalhamento de aspectos intrínsecos e particulares do aeroporto estudado. Ademais, a análise de fatores externos aborda questões que não são aplicáveis ao aeroporto em tela, tendo sido feita de forma geral para todos os aeroportos do bloco. 
Na análise SWOT, o estudo aponta como oportunidade: "</t>
    </r>
    <r>
      <rPr>
        <i/>
        <sz val="11"/>
        <color theme="1"/>
        <rFont val="Times New Roman"/>
        <family val="1"/>
      </rPr>
      <t>Enquadramento no REIDI</t>
    </r>
    <r>
      <rPr>
        <sz val="11"/>
        <color theme="1"/>
        <rFont val="Times New Roman"/>
        <family val="1"/>
      </rPr>
      <t>". Entretanto, o Decreto nº 6.144/2007, em seu Artigo 6º, Parágrafo 1º, Inciso I, veda a aplicação do REIDI em projetos em que não tenha sido considerado o impacto de sua aplicação na sua estruturação. 
A otimização tributária não é uma fortaleza da operação em Bloco. De fato, conforme aponta o próprio relatório, o aeroporto teria melhor VPL se concedido de forma isolada pelos ganhos de poder se enquadrar no regime de lucro presumido.
De modo equivocado, o relatório afirma que há receita teto no aeroporto (p. 90).</t>
    </r>
  </si>
  <si>
    <r>
      <t>A análise SWOT não explora devidamente os elementos  e características específicos do aeroporto, sendo por vezes superficial e genérica. Eventuais oportunidades de desenvolvimento ou ameaças ao modelo de negócio proposto não são abordados com a profundidade esperada, sendo insuficiente no estudo o detalhamento de aspectos intrínsecos e particulares do aeroporto estudado. Ademais, a análise de fatores externos aborda questões que não são aplicáveis ao aeroporto em tela, tendo sido feita de forma geral para todos os aeroportos do bloco. 
Na análise SWOT, o estudo aponta como oportunidade: "</t>
    </r>
    <r>
      <rPr>
        <i/>
        <sz val="11"/>
        <color theme="1"/>
        <rFont val="Times New Roman"/>
        <family val="1"/>
      </rPr>
      <t>Enquadramento no REIDI</t>
    </r>
    <r>
      <rPr>
        <sz val="11"/>
        <color theme="1"/>
        <rFont val="Times New Roman"/>
        <family val="1"/>
      </rPr>
      <t>". Entretanto, o Decreto nº 6.144/2007, em seu Artigo 6º, Parágrafo 1º, Inciso I, veda a aplicação do REIDI em projetos em que não tenha sido considerado o impacto de sua aplicação na sua estruturação.</t>
    </r>
  </si>
  <si>
    <t xml:space="preserve">O Estudo aponta erroneamente que a data prevista para assinatura do contrato seria 1º de janeiro de 2023. Conforme diretriz da SAC, esta seria a data de início da concessão, portanto, a data de eficácia do contrato. De fato, diversos marcos e parâmetros da modelagem proposta pelo consórcio, como as fases de transição e o pagamento das contribuições variáveis, consideram de forma correta a eficácia do contrato em 1º de janeiro de 2023. Entretanto, outros parâmetros como o pagamento da contribuição incial e das obrigações prévias à assinatura do contrato foram incorretamente computados no ano de 2023 e não em 2022, impactando os fluxos de caixa, os indicadores de viabilidade do projeto e as demosntrações contábeis.
Na modelagem proposta os fluxos de caixa livre do projeto deveriam ter sido descontados para o ano de 2023 (início dos desembolsos) e não para o ano de 2022. 
A modelagem em bases mensais traria maior aderência à realidade do projeto. Ademais, em que pese afirmar que o fator de desconto dos fluxos de caixa foi definido com base em ótica mensal, não se constata tal evidência no modelo financeiro.
</t>
  </si>
  <si>
    <t>O Estudo aponta erroneamente que a data prevista para assinatura do contrato seria 1º de janeiro de 2023. Conforme diretriz da SAC, esta seria a data de início da concessão, portanto, a data de eficácia do contrato. De fato, diversos marcos e parâmetros da modelagem proposta pelo consórcio, como as fases de transição e o pagamento das contribuições variáveis, consideram de forma correta a eficácia do contrato em 1º de janeiro de 2023. Entretanto, outros parâmetros como o pagamento da contribuição incial e das obrigações prévias à assinatura do contrato foram incorretamente computados no ano de 2023 e não em 2022, impactando os fluxos de caixa, os indicadores de viabilidade do projeto e as demosntrações contábeis.
Na modelagem proposta os fluxos de caixa livre do projeto deveriam ter sido descontados para o ano de 2023 (início dos desembolsos) e não para o ano de 2022. 
A modelagem em bases mensais traria maior aderência à realidade do projeto. Ademais, em que pese afirmar que o fator de desconto dos fluxos de caixa foi definido com base em ótica mensal, não se constata tal evidência no modelo financeiro.</t>
  </si>
  <si>
    <t xml:space="preserve">O ano quebrado de payback (célula E124 da planilha 'MF') está descrito de maneira equivocada.
O Estudo aponta erroneamente que a data prevista para assinatura do contrato seria 1º de janeiro de 2023. Conforme diretriz da SAC, esta seria a data de início da concessão, portanto, a data de eficácia do contrato. De fato, diversos marcos e parâmetros da modelagem proposta pelo consórcio, como as fases de transição e o pagamento das contribuições variáveis, consideram de forma correta a eficácia do contrato em 1º de janeiro de 2023. Entretanto, outros parâmetros como o pagamento da contribuição incial e das obrigações prévias à assinatura do contrato foram incorretamente computados no ano de 2023 e não em 2022, impactando os fluxos de caixa, os indicadores de viabilidade do projeto e as demosntrações contábeis.
Na modelagem proposta os fluxos de caixa livre do projeto deveriam ter sido descontados para o ano de 2023 (início dos desembolsos) e não para o ano de 2022. 
A modelagem em bases mensais traria maior aderência à realidade do projeto. Ademais, em que pese afirmar que o fator de desconto dos fluxos de caixa foi definido com base em ótica mensal, não se constata tal evidência no modelo financeiro, conforme verifica-se, por exemplo, do fator de desconto utilizado para o pagamento da outorga variável a ser efetuado em maio do ano de 2053.
</t>
  </si>
  <si>
    <t xml:space="preserve">O ano quebrado de payback (célula E124 da planilha 'MF') e o ano quebrado de payback descontado (célula E130 da planilha 'MF') estão descritos de maneira equivocada.
O Estudo aponta erroneamente que a data prevista para assinatura do contrato seria 1º de janeiro de 2023. Conforme diretriz da SAC, esta seria a data de início da concessão, portanto, a data de eficácia do contrato. De fato, diversos marcos e parâmetros da modelagem proposta pelo consórcio, como as fases de transição e o pagamento das contribuições variáveis, consideram de forma correta a eficácia do contrato em 1º de janeiro de 2023. Entretanto, outros parâmetros como o pagamento da contribuição incial e das obrigações prévias à assinatura do contrato foram incorretamente computados no ano de 2023 e não em 2022, impactando os fluxos de caixa, os indicadores de viabilidade do projeto e as demosntrações contábeis.
Na modelagem proposta os fluxos de caixa livre do projeto deveriam ter sido descontados para o ano de 2023 (início dos desembolsos) e não para o ano de 2022. 
A modelagem em bases mensais traria maior aderência à realidade do projeto. Ademais, em que pese afirmar que o fator de desconto dos fluxos de caixa foi definido com base em ótica mensal, não se constata tal evidência no modelo financeiro, conforme verifica-se, por exemplo, do fator de desconto utilizado para o pagamento da outorga variável a ser efetuado em maio do ano de 2053.
</t>
  </si>
  <si>
    <t xml:space="preserve">O Estudo aponta erroneamente que a data prevista para assinatura do contrato seria 1º de janeiro de 2023. Conforme diretriz da SAC, esta seria a data de início da concessão, portanto, a data de eficácia do contrato. De fato, diversos marcos e parâmetros da modelagem proposta pelo consórcio, como as fases de transição e o pagamento das contribuições variáveis, consideram de forma correta a eficácia do contrato em 1º de janeiro de 2023. Entretanto, outros parâmetros como o pagamento da contribuição incial e das obrigações prévias à assinatura do contrato foram incorretamente computados no ano de 2023 e não em 2022, impactando os fluxos de caixa, os indicadores de viabilidade do projeto e as demosntrações contábeis.
Na modelagem proposta os fluxos de caixa livre do projeto deveriam ter sido descontados para o ano de 2023 (início dos desembolsos) e não para o ano de 2022. 
A modelagem em bases mensais traria maior aderência à realidade do projeto. Ademais, em que pese afirmar que o fator de desconto dos fluxos de caixa foi definido com base em ótica mensal, não se constata tal evidência no modelo financeiro. 
</t>
  </si>
  <si>
    <t>O ano quebrado de payback (célula E100 da planilha 'MF') e o ano quebrado de payback descontado (célula E106 da planilha 'MF') estão descritos de maneira equivocada.
O Estudo aponta erroneamente que a data prevista para assinatura do contrato seria 1º de janeiro de 2023. Conforme diretriz da SAC, esta seria a data de início da concessão, portanto, a data de eficácia do contrato. De fato, diversos marcos e parâmetros da modelagem proposta pelo consórcio, como as fases de transição e o pagamento das contribuições variáveis, consideram de forma correta a eficácia do contrato em 1º de janeiro de 2023. Entretanto, outros parâmetros como o pagamento da contribuição incial e das obrigações prévias à assinatura do contrato foram incorretamente computados no ano de 2023 e não em 2022, impactando os fluxos de caixa, os indicadores de viabilidade do projeto e as demosntrações contábeis.
Na modelagem proposta os fluxos de caixa livre do projeto deveriam ter sido descontados para o ano de 2023 (início dos desembolsos) e não para o ano de 2022. 
A modelagem em bases mensais traria maior aderência à realidade do projeto. Ademais, em que pese afirmar que o fator de desconto dos fluxos de caixa foi definido com base em ótica mensal, não se constata tal evidência no modelo financeiro, conforme verifica-se, por exemplo, do fator de desconto utilizado para o pagamento da outorga variável a ser efetuado em maio do ano de 2053.
O payback da firma não foi apresentado sob a justificativa de que o primeiro ano da concessão possui resultado positivo. No entanto, como análise de sensibilidade, poderia ter sido apresentado o tempo de payback do projeto a contar do final da fase I-B do contrato.</t>
  </si>
  <si>
    <t xml:space="preserve">O Estudo aponta erroneamente que a data prevista para assinatura do contrato seria 1º de janeiro de 2023. Conforme diretriz da SAC, esta seria a data de início da concessão, portanto, a data de eficácia do contrato. De fato, diversos marcos e parâmetros da modelagem proposta pelo consórcio, como as fases de transição e o pagamento das contribuições variáveis, consideram de forma correta a eficácia do contrato em 1º de janeiro de 2023. Entretanto, outros parâmetros como o pagamento da contribuição incial e das obrigações prévias à assinatura do contrato foram incorretamente computados no ano de 2023 e não em 2022, impactando os fluxos de caixa, os indicadores de viabilidade do projeto e as demosntrações contábeis.
Na modelagem proposta os fluxos de caixa livre do projeto deveriam ter sido descontados para o ano de 2023 (início dos desembolsos) e não para o ano de 2022. 
A modelagem em bases mensais traria maior aderência à realidade do projeto. Ademais, em que pese afirmar que o fator de desconto dos fluxos de caixa foi definido com base em ótica mensal, não se constata tal evidência no modelo financeiro.
Em que pese o resultado negativo do aeroporto, o relatório afirma na pág. 57 que o Aeroporto de Campo Grande é superavitário.
</t>
  </si>
  <si>
    <t>Os estudos ambientais contemplam uma adequada avaliação do histórico do aeroporto, diagnóstico e análise da regularidade ambiental e conformidade do aeroporto perante os órgãos fiscalizadores (municipais, estaduais e federais), outras autorizações, outorgas e licenças, bem como de processos judiciais e de contratos vigentes sob a temática ambiental.</t>
  </si>
  <si>
    <t>Embora o estudo de engenharia aborde processos judiciais e extrajudiciais de regularização fundiária, os quais possuem relação com o licenciamento ambiental do empreendimento, tais processos não constam do estudo ambiental.</t>
  </si>
  <si>
    <t>Os estudos ambientais definem custo atinente ao licenciamento ambiental, incluindo passivos existentes e implantação de medidas mitigadoras, soluções e estratégias para viabilização do projeto do ponto de vista socioambiental.</t>
  </si>
  <si>
    <t xml:space="preserve">Considera-se que o estudo não abordou com o detalhamento necessário as questões ambientais relacionadas à proposta de aterramento necessário para viabilizar a implantação de RESA nas cabeceiras da PPD. Como exemplo das questões que deveriam ser enfrentadas, pode-se citar as seguintes: tratativas com o Ministério Público e com o Conselho Estadual de Meio Ambiente, além de eventuais ações conscientização ambiental frente à sociedade civil. Cabe destacar que, de acordo com informações da Infraero, atual operadora de SBRJ, existem inúmeras dificuldades ambientais vinculadas à realização de novos aterramentos na Baía de Guanabara. </t>
  </si>
  <si>
    <t>O estudo não considerou a possibilidade de contratação de uma única empresa de consultoria ambiental para os aeroportos SBUL e SBUR.</t>
  </si>
  <si>
    <t>Não foi incluído mapa com a localização dos sismos em relação à localidade do aeroporto.
Embora o estudo de engenharia aborde processos judiciais e extrajudiciais de regularização fundiária, os quais possuem relação com o licenciamento ambiental do empreendimento, tais processos não constam do estudo ambiental.</t>
  </si>
  <si>
    <t xml:space="preserve">Não consta no levantameto de riscos e restrições ambientais aspectos relacionados à sismologia da região </t>
  </si>
  <si>
    <t>Considerando a relevância da intervenção, considerou-se que o estudo não precificou de maneira suficientemente detalhada os custos ambientais relacionados ao aterramento necessário para viabilizar a implantação de RESA nas cabeceiras da PPD.
Não foram computadas eventuais sinergias decorrentes da operação conjunta de SBRJ e SBJR considerando a proximidade dos dois aeroportos (i.e. contratação uma única empresa de consultoria ambiental).</t>
  </si>
  <si>
    <t>O estudo não aborda aspectos relacionados à sismologia no sistema de gestão, diretriz, planos, programas e indicadores de desempenho ambiental.</t>
  </si>
  <si>
    <t>O estudo não aborda aspectos relacionados a possíveis custos com prevenção, programas e gestão ambiental relacionados à sismologia.</t>
  </si>
  <si>
    <t>Os estudos ambientais apresentam as diretrizes e previsão de cronograma para o licenciamento ambiental do empreendimento pela futura concessionária, quando aplicável.</t>
  </si>
  <si>
    <t>A elasticidade utilizada para definição do índice de comissão de vendas para as receitas de varejo não considera as especificidades e diferentes perfis do consumidor de cada aeroporto.
A projeção das  receitas não tarifárias não prevê os potenciais upsides na celebração de novos contratos pelo operador privado quando do término dos contratos atuais.
O benchmark utilizado para validação dos níveis atuais das rubricas de receitas não tarifárias é frágil, pois conta  apenas com aeroportos operados pela Infraero, e assim, não captura os ganhos da gestão privada sobre a gestão pública no que se refere a exploração comercial do aeroporto. 
O valor projetado para as receitas de desenvolvimento imobiliário no primeiro ano completo da concessão estão abaixo dos mínimos pactuados nos contratos existentes. Ademais, não há justificativa para manutenção de valores constantes de receitas advindas da exploração de real state a partir de 2030.</t>
  </si>
  <si>
    <t>Não foram computadas eventuais sinergias decorrentes da operação conjunta de SBRJ e SBJR considerando a proximidade dos dois aeroportos (i.e. contratação uma única empresa de consultoria ambiental).</t>
  </si>
  <si>
    <t>O estudo não apresenta de maneira suficientemente detalhada os custos referentes às áreas onde será realizada desapropriação e possível expansão da infraestrutura aeroportuária, como por exemplo, em relação às possíveis medidas de compensação ambiental e florestal.</t>
  </si>
  <si>
    <t>O estudo não considerou a possibilidade de contratação de uma única empresa de consultoria ambiental para os aeroportos SBCG, SBCR e SBPP.</t>
  </si>
  <si>
    <t>Não foram computadas eventuais sinergias decorrentes da operação conjunta de SBSP e SBMT considerando a proximidade dos dois aeroportos (i.e. contratação uma única empresa de consultoria ambiental).</t>
  </si>
  <si>
    <t>No tocante ao passivo P24  relativo à ASA, que adentra ao país vizinho, os aspectos técnicos e normativos insidentes em áreas de fronteira não foram desevolvidos no relatório.</t>
  </si>
  <si>
    <t>Ok.</t>
  </si>
  <si>
    <t>O meio-fio de embarque proposto pelo anteprojeto possui medidas inferiores ao dimensionado para atendimento da capacidade projetada. Além disso, o estudo não detalha ou justifica suficientemente as restrições impostas pelo sítio aeroportuário que implicam na "impossibilidade física" para atendimento de 70% de passageiros domésticos processados em pontes de embarque, conforme diretriz traçada pela SAC.</t>
  </si>
  <si>
    <t>Muito embora os estudos contenham metodologia, estimativa e ilustraçoes do modelo de terraplenagem desenvolvido, não é possível rastrear os quantitativos dos serviços dele resultantes, uma vez que não foram fornecidos os arquivos do anteprojeto de terraplenagem e os demais projetos, dados e informações utilizadas para o dimensionamento.</t>
  </si>
  <si>
    <t>Há algumas composições analíticas de preços unitários (CAPU) sob incidência de BDI diverso do aplicado na planilhas de preço. Além disso, muito embora tenham sido aplicados os encargos trabalhistas sobre mão de obra horista com desoneração, a tabela de encargos sociais (ES) informa adoção de horista sem desoneração.</t>
  </si>
  <si>
    <r>
      <t xml:space="preserve">Na descrição da infraestrutua do Terminal de Passageiros (item 1.2.2.1 do Relatório 02 - </t>
    </r>
    <r>
      <rPr>
        <i/>
        <sz val="11"/>
        <color theme="1"/>
        <rFont val="Times New Roman"/>
        <family val="1"/>
      </rPr>
      <t>Estudos de Engenharia e Afins)</t>
    </r>
    <r>
      <rPr>
        <sz val="11"/>
        <color theme="1"/>
        <rFont val="Times New Roman"/>
        <family val="1"/>
      </rPr>
      <t xml:space="preserve">, verifica-se a existência de algumas falhas na identificação de componentes e de áreas operacionais:
(i) apresenta-se, nas Figuras 1-79 e 1-85 (derivadas do Anexo 1.13), as áreas administrativas das empresas aéreas como sendo áreas comerciais (legendas e áreas hachuradas na cor azul). Nas áreas hachuradas, verifica-se que existem, de fato, áreas comerciais de empresas aéreas, no entanto, confunde-se as comerciais com as operacionais, que ficam atrás do </t>
    </r>
    <r>
      <rPr>
        <i/>
        <sz val="11"/>
        <color theme="1"/>
        <rFont val="Times New Roman"/>
        <family val="1"/>
      </rPr>
      <t>Check-In</t>
    </r>
    <r>
      <rPr>
        <sz val="11"/>
        <color theme="1"/>
        <rFont val="Times New Roman"/>
        <family val="1"/>
      </rPr>
      <t>, em área restrita ao público em geral. Tratam-se de áreas com finalidades de uso distintas, sendo estas, do ponto de vista do futuro operador aeroportuário, operacionais e não comerciais;
(ii) descreve a imagem apresentada na Figura 1-101 como sendo o Saguão de Embarque, no entanto, trata-se da Sala de Embarque (posições de contato, no Conector).</t>
    </r>
  </si>
  <si>
    <r>
      <t xml:space="preserve">Dos 16 aparelhos de Raio-X para inspeção de bagagem existentes, apenas 08 são efetivamente avaliados, considerando o estado de conservação e a vida útil dos bens. Quanto aos demais apresentados (08), a avaliação é feita de forma parcial, estimando-se a vida útil residual conforme a metodologia descrita no item 1.4.1 do Relatório 02 - </t>
    </r>
    <r>
      <rPr>
        <i/>
        <sz val="11"/>
        <color theme="1"/>
        <rFont val="Times New Roman"/>
        <family val="1"/>
      </rPr>
      <t>Estudos de Engenharia e Afins.</t>
    </r>
    <r>
      <rPr>
        <sz val="11"/>
        <color theme="1"/>
        <rFont val="Times New Roman"/>
        <family val="1"/>
      </rPr>
      <t xml:space="preserve">
Dos 17 aparelhos Pórticos Detectores de Metais existentes, apenas 10 são efetivamente avaliados, considerando o estado de conservação e a vida útil dos bens. Quanto aos demais (07), a avaliação é feita de forma parcial, estimando-se a vida útil residual, conforme a metodologia descrita no item 1.4.1 do Relatório 02 - </t>
    </r>
    <r>
      <rPr>
        <i/>
        <sz val="11"/>
        <color theme="1"/>
        <rFont val="Times New Roman"/>
        <family val="1"/>
      </rPr>
      <t>Estudos de Engenharia e Afins).</t>
    </r>
    <r>
      <rPr>
        <sz val="11"/>
        <color theme="1"/>
        <rFont val="Times New Roman"/>
        <family val="1"/>
      </rPr>
      <t xml:space="preserve">
Das 08 Pontes de Embarque existentes, apenas 07 são efetivamente avaliadas, considerando o estado de conservação e a vida útil dos bens. Quanto a outra (01), a avaliação é feita de forma parcial, estimando-se a vida útil residual, conforme a metodologia descrita no item 1.4.1 do Relatório 02 - </t>
    </r>
    <r>
      <rPr>
        <i/>
        <sz val="11"/>
        <color theme="1"/>
        <rFont val="Times New Roman"/>
        <family val="1"/>
      </rPr>
      <t>Estudos de Engenharia e Afins</t>
    </r>
    <r>
      <rPr>
        <sz val="11"/>
        <color theme="1"/>
        <rFont val="Times New Roman"/>
        <family val="1"/>
      </rPr>
      <t xml:space="preserve">).
Em relação aos equipamentos de grande porte do sistema de energia elétrica, verifica-se que:
(i) dos 21 Transformadores existentes, apenas 17 foram avaliados, sendo que, de forma integral, apenas 15. Ou seja, 02 tiveram avaliação parcial, com base na estimativa de vida útil residual, conforme a metodologia descrita no item 1.4.1 do Relatório 02 - </t>
    </r>
    <r>
      <rPr>
        <i/>
        <sz val="11"/>
        <color theme="1"/>
        <rFont val="Times New Roman"/>
        <family val="1"/>
      </rPr>
      <t>Estudos de Engenharia e Afins</t>
    </r>
    <r>
      <rPr>
        <sz val="11"/>
        <color theme="1"/>
        <rFont val="Times New Roman"/>
        <family val="1"/>
      </rPr>
      <t>), e 04 não foram localizados no documento;
(ii) dos 05 Grupos Moto-Geradores existentes, apenas 03 foram relacionados e devidamente avaliados, quanto ao estado de conservação e à vida útil dos bens. Os outros 02 não foram localizados no documento.
Por fim, no que se refere à avaliação dos sistemas de pistas e pátios de aeronaves, verifica-se ausência de avaliação do estado de conservação do Pátio 02 (composto pelos Canteiros 1 a 9), destinado às operações da Aviação Geral no aeroporto.</t>
    </r>
  </si>
  <si>
    <t>O estudo não abordou as restrições de uso decorrentes da área civil do aeroporto cedida para prestação de serviço público de transporte terrestre - VLT/Rio.</t>
  </si>
  <si>
    <r>
      <t xml:space="preserve">Avaliação da situação patrimonial das áreas que compõem o atual sítio aeroportuário, contemplando a realização de </t>
    </r>
    <r>
      <rPr>
        <i/>
        <sz val="12"/>
        <rFont val="Times New Roman"/>
        <family val="1"/>
      </rPr>
      <t>due diligence</t>
    </r>
    <r>
      <rPr>
        <sz val="12"/>
        <rFont val="Times New Roman"/>
        <family val="1"/>
      </rPr>
      <t xml:space="preserve"> imobiliária para levantamento da situação patrimonial do sítio. Apresentação, por meio de desenhos esquemáticos, imagens ou outros elementos aplicáveis, das cercas operacionais e patrimoniais existentes.</t>
    </r>
  </si>
  <si>
    <t>Foram apresentadas as limitações físicas/operacionais existentes e/ou não-conformidades no aeroporto, considerando a operação atual e o mínimo operacional definido para o aeroporto. Foram considerados os compromissos de investimentos e/ou regularização de pendências firmados pelo operador aeroportuário atual com órgãos federais, estaduais ou municipais.</t>
  </si>
  <si>
    <t>No Relatório 02, item 1.5.8, Sistema de Apoio às Empresas Aéreas, apresenta-se a avaliação dos componentes que integram o Sistema de Apoio às Empresas Aéreas do aeroporto em estudo. Da análise, verifica-se que não foram apresentadas informações a respeito da avaliação da capacidade das Instalações de Administração, restando incompleta, portanto, a análise desse sistema.
No Relatório 02, item 1.5.10.6, apresenta-se a avaliação da capacidade do Sistema de Climatização do aeroporto. Da análise, verifica-se que não foi apresentada a memória de cálculo da capacidade de climatização oferecida pelo sistema, nem informada a metodologia que embasou a avaliação, de modo que seja possível concluir se, de fato, a demanda será suprida pela capacidade instalada.
No Relatório 02, item 1.5.10, Sistema de Infraestrutura Básica, apresenta-se a avaliação dos sub-sistemas que integram o Sistema de Infraestrurtura Básica do aeroporto em estudo. Da análise, verifica-se que não foram apresentadas informações a respeito da avaliação da capacidade do sub-sistema de Drenagem do aeroporto, restando incompleta, portanto, a análise desse sistema.</t>
  </si>
  <si>
    <t>No item 2.4.3 do Relatório 02, destinado à apresentação da Alternativa Escolhida e Maximização do Retorno do Projeto, verifica-se que é proposta a realização de aterro para ganho de terreno em direção ao mar, sobre a Baía de Guanabara, objetivando a implantação de RESA em ambas as cabeceiras. Em que pese a possível factibilidade da intervenção proposta, verifica-se que a análise requer aprofundamento da avaliação, considerando-se o método construtivo previsto e a atual dificuldade de obtenção de licença ambiental em áreas com tais características. Ante as constatações decorrentes do aprofundamento da avaliação, na hipótese de verificação de elevado nível de dificuldade na obtenção do indispensável licenciamento ambiental, imprescindível se faz a apresentação de alternativas viáveis para a implementação de áreas de segurança de final de pista, em ambas as cabeceiras, conforme necessidade apontada no item 1.3.1 do relatório.
Analisando-se as informações contidas no item 2.6.2.1.7 do Relatório 02, destinado à descrição das intervenções previstas no Sistema de Apoio às Operações, na Fase I, verifica-se que:
(i) não foi previsto aumento da capacidade de tancagem do PAA, conforme necessidade apontada no item 1.5.7.1 do mesmo relatório;
(ii) não fora previsto aumento de área de lote para adequação das instalações da SCI à categoria exigida, conforme necessidade apontada no item 1.5.7.2 do mesmo relatório.
No item 2.6.2.1.9 do Relatório 02, destinado à apresentação das intervenções previstas no Sistema Industrial de Apoio, na Fase I, verifica-se que não foram previstas intervenções para atendimento às atividades de Comissaria, conforme necessidade apontada no item 1.5.9.2 do mesmo relatório.</t>
  </si>
  <si>
    <t>É apresentado anteprojeto de engenharia, demonstrando claramente a implantação de acordo com as fases/etapas propostas, consistentes com as projeções de demanda, especificando a expansão prevista para cada fase/etapa, atendendo aos parâmetros e especificações técnicas mínimas e evidenciando o atendimento às normatizações da ANAC e, subsidiariamente, normas ABNT relativas a ruídos, ergonomia e conforto, quando existentes, bem como as demais normas técnicas aplicáveis às soluções de engenharia propostas.</t>
  </si>
  <si>
    <t>As esteiras de restituição de bagagens existentes, que não atendem a requisitos atualmente vigentes de AVSEC (possibilitam retorno de bagagens ao lado ar) foram mantidas na restituição de bagagens doméstica.</t>
  </si>
  <si>
    <t>Os gráficos nas figuras 2-80 e 2-81  (sala de embarque doméstica e internacional) apresentam capacidades diferentes nas salas remotas das que constam tanto do dimensionamento quanto do anteprojeto.</t>
  </si>
  <si>
    <t>Para fins de dimensionamento do terminal de passageiros, foram considerados os parâmetros adotados pela ANAC na avaliação do nível de serviço dos componentes operacionais, apresentando anteprojeto do terminal de passageiros para cada fase/etapa de implantação da solução escolhida como mais adequada para o desenvolvimento do aeroporto, bem como são apresentados os cálculos e planilhas utilizados na elaboração do anteprojeto que evidenciam a utilização dos parâmetros da ANAC e da Associação Internacional de Transporte Aéreo (IATA), quando aplicável.</t>
  </si>
  <si>
    <t>Se verificada a necessidade de utilização de áreas externas aos limites do sítio aeroportuário para viabilizar a ampliação da infraestrutura aeroportuária ou de limitações administrativas adicionais em áreas próximas ao aeroporto (art. 43 da Lei n. 7.565, de 1986), o estudo apresenta os custos de desapropriação ou indenização referentes a cada caso.</t>
  </si>
  <si>
    <r>
      <t xml:space="preserve">Não realizou a coleta de dados relacionados ao Tempo de Ocupação de Pista </t>
    </r>
    <r>
      <rPr>
        <i/>
        <sz val="11"/>
        <color theme="1"/>
        <rFont val="Times New Roman"/>
        <family val="1"/>
      </rPr>
      <t>in loco</t>
    </r>
    <r>
      <rPr>
        <sz val="11"/>
        <color theme="1"/>
        <rFont val="Times New Roman"/>
        <family val="1"/>
      </rPr>
      <t xml:space="preserve">, como preconiza a MCA 100-47. Esta variável foi estimada utilizando metodologia alternativa.
</t>
    </r>
    <r>
      <rPr>
        <sz val="11"/>
        <rFont val="Times New Roman"/>
        <family val="1"/>
      </rPr>
      <t>O estudo não traz considerações a respeito do possível impacto de operações de aeronaves de asa rotativa sobre a capacidade do sistema de pista.</t>
    </r>
  </si>
  <si>
    <t>O comprimento do meio-fio de desembarque considerado na avaliação de capacidade é maior do que o efetivamente disponível, conforme medido nas plantas da situação existente apresentadas.</t>
  </si>
  <si>
    <t>Algumas soluções propostas no anteprojeto para a expansão do TPS colocariam desafios à operação, como a grande distância a percorrer pelos passageiros (ainda que auxiliados por esteiras rolantes em parte do percurso), sendo que há portões de embarque que se situam a mais de 900 (novecentos) metros de caminhada a partir da inspeção de segurança, com duas ou mais mudanças de nível no percurso, o mesmo valendo para o fluxo de desembarque a partir dos portões. A literatura técnica (ADRM IATA, entre outros) aconselha evitar essas situações, tanto quanto possível.</t>
  </si>
  <si>
    <t>O estudo não apresenta as características dos imóveis a serem desapropriados, não traz informações acerca da titularidade dos mesmos, assim como, não detalha a metodologia utilizada para a valoração das áreas.</t>
  </si>
  <si>
    <r>
      <t xml:space="preserve">Na descrição da infraestrutua do Terminal de Passageiros (item 1.2.2.1 do Relatório 02, </t>
    </r>
    <r>
      <rPr>
        <i/>
        <sz val="11"/>
        <color theme="1"/>
        <rFont val="Times New Roman"/>
        <family val="1"/>
      </rPr>
      <t>Estudos de Engenharia e Afins</t>
    </r>
    <r>
      <rPr>
        <sz val="11"/>
        <color theme="1"/>
        <rFont val="Times New Roman"/>
        <family val="1"/>
      </rPr>
      <t>), verifica-se que, na Figura 1-123 (derivada do Anexo 1.14), as áreas administrativas das empresas aéreas são apresentadas como sendo áreas comerciais (legenda e áreas hachuradas na cor azul). Nas áreas hachuradas, verifica-se que existem, de fato, áreas comerciais de empresas aéreas, no entanto, confunde-se as comerciais com as operacionais, que ficam atrás do Check-In, em área restrita ao público em geral. Tratam-se de áreas com finalidades de uso distintas, sendo estas, do ponto de vista do futuro operador aeroportuário, operacionais e não comerciais.
No mesmo item do Relatório, descreve-se, de forma equivocada, a imagem contida na Figura 1-134 como sendo a "Saguão de Embarque do Aeroporto - Pavimento Térreo". No entanto, trata a imagem da representação da Área de Formação de Filas para passagem pelo BCBP, localizada no Mezanino do Saguão Central.
No item 1.2.1.2 do Relatório, descreve-se a infraestrutura do sistema de Pistas de Táxi. Analisando-se as informações contidas nesse tópico, verifica-se ausência de identificação e caracterização da PR-Y (pista de rolamento central do Pátio "A300", remoto).
No item 1.2.8.2 do Relatório, descreve-se a infraestrutura relacionada às instalações de processamento de cargas do aeroporto. No texto em que descreve as imagens contidas nas Figuras 1-261 e 1-262, equivocadamente, aponta para as Figuras 1-261 e 1-263.</t>
    </r>
  </si>
  <si>
    <r>
      <t xml:space="preserve">Dos 14 elevadores existentes (10 no Terminal de Passageiros e 04 no EDG), inseridos nos fluxos operacionais de embarque e desembarque de passageiros, apenas 02 (de 04 totais do Saguão Central) foram relacionados e efetivamente avaliados, considerando o estado de conservação e a vida útil dos bens. Não foram localizados, no Anexo 3, 12 elevadores, sendo 02 no Saguão Central, 02 no Desembarque (área restrita), 02 no Embarque Remoto (área restrita), 01 no Desembarque (área pública, ala sul), 01 no Acesso ao EDG (área pública) e 04 no EDG.
Das 10 escadas rolantes existentes, inseridas nos fluxos operacionais de embarque e desembarque de passageiros, apenas 04 (02 no Saguão Central e 02 no Embarque Remoto) foram relacionadas e efetivamente avaliadas, considerando o estado de conservação e a vida útil dos bens. Não foram localizadas, no Anexo 3, 06 escadas rolantes, sendo 02 no Desembarque (área restrita), 02 no Acesso ao EDG (área pública) e 02 no Desembarque (área pública, ala sul).
Em relação aos equipamentos de auxílio à navegação instalados no aeroporto, apresentados no Anexo 3, verifica-se que:
(i) dos 02 Glide Paths (GP) existentes, apenas 01 foi relacionado e, ainda assim, não foi possível avaliar o bem, em qualquer aspecto, devido à ausência de informações na ficha de avaliação. Ou seja, não foram apresentadas, nas fichas contidas no Anexo 3, informações a respeito do estado de conservação e da vida útil de ambos os GP;
(ii) dos 02 Localizers (LLZ) existentes, apenas 01 (cabeceira 17R, atende à 35L) foi avaliado quanto ao estado de conservação e à vida útil. Não foram encontradas, nas fichas contidas no Anexo 3, informações a respeito do estado de funcionamento do outro LLZ (cabeceira 35L, atende à 17R). Ainda em relação aos Localizers, no item 1.2.4.2 do Relatório 02 - </t>
    </r>
    <r>
      <rPr>
        <i/>
        <sz val="11"/>
        <color theme="1"/>
        <rFont val="Times New Roman"/>
        <family val="1"/>
      </rPr>
      <t>Estudos de Engenharia e a Afins</t>
    </r>
    <r>
      <rPr>
        <sz val="11"/>
        <color theme="1"/>
        <rFont val="Times New Roman"/>
        <family val="1"/>
      </rPr>
      <t xml:space="preserve">, verifica-se a existência de menção ao estado de funcionamento dos equipamentos de auxílio rádio-navegação do aeroporto. Afirma-se, nessa parte do documento, de forma genérica, que os equipamentos estão em bom estado de conservação e que operam normalmente.
Em relação aos equipamentos de grande porte do sistema de energia elétrica, verifica-se que:
(i) dos 33 transformadores existentes, apenas 08 foram avaliados, sendo que, de forma integral, apenas 02. Ou seja, 06 tiveram avaliação parcial, com base na estimativa de vida útil residual, conforme a metodologia descrita no item 1.4.1 do Relatório 02 - </t>
    </r>
    <r>
      <rPr>
        <i/>
        <sz val="11"/>
        <color theme="1"/>
        <rFont val="Times New Roman"/>
        <family val="1"/>
      </rPr>
      <t>Estudos de Engenharia e Afins</t>
    </r>
    <r>
      <rPr>
        <sz val="11"/>
        <color theme="1"/>
        <rFont val="Times New Roman"/>
        <family val="1"/>
      </rPr>
      <t>, e 25 não foram localizados nas fichas de avaliação;
(ii) não foram localizadas informações a respeito do estado de conservação e da vida útil dos 03 Autotransformadores existentes;
(iii) dos 11 Grupos Moto-Geradores existentes, apenas 02 foram relacionados e devidamente avaliados quanto ao estado de conservação e a vida útil dos bens. Não foram localizadas informações a respeito dos outros 09 Grupos Moto-Geradores.
Por fim, no que se refere à avaliação dos sistemas de pistas e pátios de aeronaves, verifica-se que, das 22 Pistas de Rolamento (PR), 21 foram relacionadas e apenas 16 avaliadas. Não foram localizadas, em quaisquer dos documentos apresentados, avaliações efetivas quanto ao estado de conservação das PR-F, H, I, W, X e Y.</t>
    </r>
  </si>
  <si>
    <r>
      <t xml:space="preserve">Não realizou a coleta de dados relacionados ao Tempo de Ocupação de Pista </t>
    </r>
    <r>
      <rPr>
        <i/>
        <sz val="11"/>
        <color theme="1"/>
        <rFont val="Times New Roman"/>
        <family val="1"/>
      </rPr>
      <t>in loco</t>
    </r>
    <r>
      <rPr>
        <sz val="11"/>
        <color theme="1"/>
        <rFont val="Times New Roman"/>
        <family val="1"/>
      </rPr>
      <t xml:space="preserve">, como preconiza a MCA 100-47. Esta variável foi estimada utilizando metodologia alternativa.
O estudo não traz considerações a respeito do possível impacto de operações de aeronaves de asa rotativa sobre a capacidade do sistema de pista.
Não considera as restrições de envergadura das aeronaves para uso de algumas posições de estacionamento no pátio principal, conforme declaração de capacidade do aeroporto.
</t>
    </r>
  </si>
  <si>
    <t xml:space="preserve">No Relatório 02, item 1.5.8, Sistema de Apoio às Empresas Aéreas, apresenta-se a avaliação dos componentes que integram o Sistema de Apoio às Empresas Aéreas do aeroporto em estudo. Da análise, verifica-se que não foram apresentadas informações a respeito da avaliação da capacidade das Instalações de Administração, restando incompleta, portanto, a análise desse sistema.
No item 1.5.10.6 do Relatório 02, Estudos de Engenharia e Afins, apresenta-se a avaliação da capacidade do Sistema de Climatização do aeroporto. Em relação à avaliação apresentada, verifica-se que:
(i) não foi apresentada a memória de cálculo da capacidade de climatização oferecida pelo sistema, nem informada a metodologia que embasou a avaliação, de modo que seja possível concluir até que ponto a demanda poderá ser suprida pela capacidade instalada;
(ii) considera-se que a infraestrutura de climatização atual dispõe de capacidade suficiente para atender à demanda no aeroporto, dada a configuração atual dos componentes aeroportuários. Entretanto, o estudo não considerou que o Saguão Central não dispõe de climatização e que, dadas as características e dimensões espaciais, a demanda por refrigeração pode ser elevada para o sistema atual.
No Relatório 02, item 1.5.10, Sistema de Infraestrutura Básica, apresenta-se a avaliação dos sub-sistemas que integram o Sistema de Infraestrurtura Básica do aeroporto. Da análise, verifica-se que não foram apresentadas informações a respeito da avaliação da capacidade do sub-sistema de Drenagem do aeroporto, restando incompleta, portanto, a análise desse sistema.
</t>
  </si>
  <si>
    <t xml:space="preserve">Analisando-se as informações contidas no item 2.6.2.1.7 do Relatório 02, destinado à descrição das intervenções previstas no Sistema de Apoio às Operações, verifica-se que não foi previsto aumento da capacidade de tancagem do PAA, conforme necessidade apontada no item 1.5.7.1 do mesmo relatório.
No item 2.6.2.1.9 do Relatório 02, destinado à apresentação das intervenções previstas no Sistema Industrial de Apoio, na Fase I, verifica-se que não foram previstas intervenções para atendimento às atividades de Comissaria, conforme necessidade apontada no item 1.5.9.2 do mesmo relatório.
No item 2.6.2.1.10 do Relatório 02, destinado à apresentação das intervenções previstas no Sistema de Infraestrutura Básica, na Fase I, verifica-se que não fica clara a intervenção prevista no sistema de climatização, identificando-se, tão somente, menção à metragem de área prevista para instalação de um sistema redundante. Entretanto, visitando-se outros arquivos do estudo de engenharia, é possível encontrar a previsão de investimento em solução de climatização HVAC (Planilha CAPEX).
</t>
  </si>
  <si>
    <r>
      <t xml:space="preserve">Uma das proposições do anteprojeto para adequação ao gabarito da pista de pouso está representada de forma muito simplificada, carecendo de elementos que comprovem sua viabilidade, visto que a demolição de parte da fachada da edificação da atual sala de embarque doméstica (que passaria a ser utilizada como conector para a nova sala de embarque), consta apenas em um corte esquemático. Isso indica (por comparação com desenhos técnicos disponíveis no </t>
    </r>
    <r>
      <rPr>
        <i/>
        <sz val="11"/>
        <rFont val="Times New Roman"/>
        <family val="1"/>
      </rPr>
      <t>Data Room</t>
    </r>
    <r>
      <rPr>
        <sz val="11"/>
        <rFont val="Times New Roman"/>
        <family val="1"/>
      </rPr>
      <t>) que a altura interna resultante após a demolição parcial daquela parte da edificação pode não ser suficiente para acomodar a nova função proposta, sobretudo se considerada a instalação das esteiras rolantes para vencer a grande distância até a nova sala de embarque, caso não seja possível embutí-las na laje - situação costuma ser comum quando se trata da instalação desse equipamento em edificações existentes.</t>
    </r>
  </si>
  <si>
    <r>
      <t xml:space="preserve">O estacionamento de veículos prevê no anteprojeto 1.095 vagas a mais em relação à demanda prevista para o final da concessão (o que equivale a cerca de 4 andares do novo EDG). O número de carrosséis de restituição de bagagem doméstica é significativamente maior do que o que consta na planilha de dimensionamento. 
Quanto ao dimensionamento de áreas de componentes afetados pelos parâmetros da ANAC na ampliação do TPS, verifica-se que o atendimento ao nível de serviço pode ser prejudicado na sala de embarque doméstica do satélite do terminal de passageiros, notadamente nas regiões localizadas na convergência dos eixos 11E e 12E com AE e BE (3 portões de embarque) e 1E e 2E com NE e OE (5 portões, com possível impacto em um 6º e 7º portões adjacentes), onde a alta concentração de portões dispostos de forma radial, agravada pela presença de áreas comerciais à proximidade, pode levar à sobreposição das áreas de influência desses portões, com alta concentração de passageiros e conflito entre as filas de pré-embarque, dado que a simultaneidade nos embarques é uma constante em SBSP.
Na área internacional, não foram avaliadas no dimensionamento as implicações da saída de passageiros em desembarque para a área pública diretamente junto à área de </t>
    </r>
    <r>
      <rPr>
        <i/>
        <sz val="11"/>
        <color theme="1"/>
        <rFont val="Times New Roman"/>
        <family val="1"/>
      </rPr>
      <t>check-in</t>
    </r>
    <r>
      <rPr>
        <sz val="11"/>
        <color theme="1"/>
        <rFont val="Times New Roman"/>
        <family val="1"/>
      </rPr>
      <t xml:space="preserve">, com possíveis fluxos cruzados. Em realidade, trata-se de um saguão de embarque/desembarque simultâneo internacional.
Não foi prevista área destinada ao desembarque remoto de voos internacionais. 
Não foi prevista área de </t>
    </r>
    <r>
      <rPr>
        <i/>
        <sz val="11"/>
        <color theme="1"/>
        <rFont val="Times New Roman"/>
        <family val="1"/>
      </rPr>
      <t xml:space="preserve">check-in </t>
    </r>
    <r>
      <rPr>
        <sz val="11"/>
        <color theme="1"/>
        <rFont val="Times New Roman"/>
        <family val="1"/>
      </rPr>
      <t xml:space="preserve">de conexão, próximo ao desembarque internacional, o que poderia inviabilizar algumas conexões INT-DOM, dada a grande distância entre o desembarque internacional e a área de </t>
    </r>
    <r>
      <rPr>
        <i/>
        <sz val="11"/>
        <color theme="1"/>
        <rFont val="Times New Roman"/>
        <family val="1"/>
      </rPr>
      <t>check-in</t>
    </r>
    <r>
      <rPr>
        <sz val="11"/>
        <color theme="1"/>
        <rFont val="Times New Roman"/>
        <family val="1"/>
      </rPr>
      <t xml:space="preserve"> e despacho de bagagens doméstico: o passageiro que necessita fazer o redespacho de bagagem para embarcar em voo doméstico acaba impossibilitado de utilizar a segunda inspeção de segurança para acessar a sala de embarque (o que encurtaria muito o caminho) devendo se deslocar até a área de </t>
    </r>
    <r>
      <rPr>
        <i/>
        <sz val="11"/>
        <color theme="1"/>
        <rFont val="Times New Roman"/>
        <family val="1"/>
      </rPr>
      <t>check-in</t>
    </r>
    <r>
      <rPr>
        <sz val="11"/>
        <color theme="1"/>
        <rFont val="Times New Roman"/>
        <family val="1"/>
      </rPr>
      <t xml:space="preserve"> doméstico, distante mais de 600 (seiscentos) metros.
</t>
    </r>
  </si>
  <si>
    <t>Se verificada a existência de obras inacabadas ou em execução no sítio aeroportuário, o estudo avalia as condições das obras (bem como as condições dos equipamentos e bens integrantes dessas obras) e quanto do executado ou em execução é possível de ser aproveitado na expansão prevista para o desenvolvimento do aeroporto.</t>
  </si>
  <si>
    <t>Os estudos não apresentam informações a respeito do aproveitamento das obras em andamento no TPS a serem executadas até 31/12/2021 e em momento posterior, em observância à diretriz traçada pela SAC, não tendo fornecido avaliação quanto a sua continuidade e finalização, além de não ter sido considerados eventuais aproveitamentos para efeito de estimativa de CAPEX. Segundo o relatório de obras dos aeroportos da 7ª rodada do PND, fornecido pela Diretoria de Operações e Serviços Técnicos (D.O.) da INFRAERO (OFÍCIO Nº SEDE-OFI-2021/05490, de 14/06/2021), os projetos, obras e serviços técnicos em andamento no sítio aeroportuário de Congonhas  (ref. maio/2021) totalizam 10 contratos, com 01 (um) já concluído (REFORMA DAS FACHADAS DO TPS DE SBSP) e 09 (nove) em andamento. Ocorre que 03 (três) contratos destes em andamento têm previsão para término das obras para 2022. Vejamos:
*Item 17 do Relatório da INFRAERO (maio 2021)
CONGONHAS/SP 7ª RODADA
SINALIZAÇÃO VERTICAL LUMINOSA DE DISTÂNCIA REMANESCENTE DE PISTA (RDR) E LUZES DE PROTEÇÃO DE PISTA (RGL) DO SBSP - EM EXECUÇÃO - TC0043-EG/2021/0024 - R$ 4.200.000,00 - 0,00% - 17/05/2021 a 11/01/2022. Conforme os estudos em avaliação, a implantação proposta para o final do período de concessão do aeroporto faz referência a esta obra, de forma que não foi verificada sua avaliação de continuidade e finalização, bem como as considerações na modelagem financeira do estudo, CAPEX.
*Item 18 do Relatório da INFRAERO (maio 2021)
CONGONHAS/SP 7ª RODADA
PROJETOS, CONSTRUÇÃO DE RESAS/EMAS E OBRAS COMPLEMENTARES NA PPD PRINCIPAL DO SBSP - EM EXECUÇÃO TC0006-EG/2021/0024 - R$ 122.550.032,00 - 49,17% - 10/02/2021 a 26/05/2022. Conforme o capítulo 2.6 dos Estudos de Engenharia e Afins, a implantação de EMAS está prevista no plano de desenvolvimento apresentado sendo que seu andamento e finalização foram considerados. Entretanto, foi constatado que o valor do CAPEX de obra existente (inacabada) do EMAS está integral, ou seja, sem desconto do já executado.
*Item 19 do Relatório da INFRAERO (maio 2021)
CONGONHAS/SP 7ª RODADA
ADEQUAÇÕES NA PISTA AUXILIAR PARA RECUO DA CABECEIRA 35R E INSTALAÇÃO DE PAPI NAS CABECEIRAS 17L E 35R DO SBSP - EM EXECUÇÃO - TC0011-EG/2021/0024 - R$ 1.517.000,00 -  14,22% - 29/03/2021 a 11/07/2022. Conforme os estudos em avaliação, a implantação proposta para o final do período de concessão do aeroporto faz referência a esta obra, de forma que não foi verificada sua avaliação de continuidade e finalização, bem como as considerações na modelagem financeira do estudo, CAPEX.</t>
  </si>
  <si>
    <t xml:space="preserve">Muito embora os estudos contenham metodologia, estimativa e ilustraçoes do modelo de terraplenagem desenvolvido, não é possível rastrear os quantitativos dos serviços dele resultantes, uma vez que não foram fornecidos os arquivos do anteprojeto de terraplenagem e os demais projetos, dados e informações utilizadas para o dimensionamento. Além disso, algumas distâncias médias de transporte (DMT) utilizadas para a composição de preços de serviços de valores expressivos foram estimadas, sem a devida justificativa para os valores adotados. 
</t>
  </si>
  <si>
    <t xml:space="preserve">Há algumas composições analíticas de preços unitários (CAPU) sob incidência de BDI diverso do aplicado na planilhas de preço. Além disso, muito embora tenham sido aplicados os encargos trabalhistas sobre mão de obra horista com desoneração, a tabela de encargos sociais (ES) informa adoção de horista sem desoneração. 
Os valores dos equipamentos do TPS de SBSP constantes na planilha TPS_Equipamentos_1.00 não correspondem aos orçados na planilha CSBSP_Engenharia_CAPUs_1.00, assim como o valor do PCA estático na Planilha Climatização - Ar Condicionado_1.00 difere do constante na planilha SBSP_Engenharia_CAPUs_1.00. Já os elevadores do Edifício Garagem do TPS de SBSP não foram considerados ou constam em outra planilha, o que estaria em desacordo com a metodologia para o processo apresentada no arquivo SBSP_Estudos de Engenharia e Afins_1.00.
</t>
  </si>
  <si>
    <t>O estudo não apresenta as características dos imóveis a serem desapropriados, não traz informações acerca da titularidade dos mesmos, assim como não detalha a metodologia utilizada para a valoração das áreas.</t>
  </si>
  <si>
    <t xml:space="preserve">Apesar de mostrar as justificativas de Relatório Técnico para o não cumprimento da condicionante 32 da LO 01/SVMA.G/2009 (pág.89), o estudo não apresenta soluções para o cumprimento da mesma, caso esta tenha que ser atendida.
</t>
  </si>
  <si>
    <t>O anteprojeto indica que serão mantidas esteiras de restituição de bagagens existentes na área de restituição de bagagens doméstica, que passará a ser internacional, as quais possibilitam retorno de bagagens ao lado ar e não atendem aos requisitos vigentes de AVSEC.</t>
  </si>
  <si>
    <r>
      <t xml:space="preserve">Na descrição da infraestrutua do Terminal de Passageiros (item 1.2.2.1 do Relatório 02 - </t>
    </r>
    <r>
      <rPr>
        <i/>
        <sz val="11"/>
        <color theme="1"/>
        <rFont val="Times New Roman"/>
        <family val="1"/>
      </rPr>
      <t>Estudos de Engenharia e Afins),</t>
    </r>
    <r>
      <rPr>
        <sz val="11"/>
        <color theme="1"/>
        <rFont val="Times New Roman"/>
        <family val="1"/>
      </rPr>
      <t xml:space="preserve"> verifica-se que, na Figura 1-151 (derivada do Anexo 1.10), as áreas administrativas das empresas aéreas são apresentadas como sendo áreas comerciais (legenda e áreas hachuradas na cor azul). Nas áreas hachuradas, verifica-se que existem, de fato, áreas comerciais de empresas aéreas, no entanto, confunde-se as comerciais com as operacionais, que ficam atrás do </t>
    </r>
    <r>
      <rPr>
        <i/>
        <sz val="11"/>
        <color theme="1"/>
        <rFont val="Times New Roman"/>
        <family val="1"/>
      </rPr>
      <t>check-in</t>
    </r>
    <r>
      <rPr>
        <sz val="11"/>
        <color theme="1"/>
        <rFont val="Times New Roman"/>
        <family val="1"/>
      </rPr>
      <t xml:space="preserve">, em área restrita ao público em geral. Tratam-se de áreas com finalidades de uso distintas, sendo estas, do ponto de vista do futuro operador aeroportuário, operacionais e não comerciais.
</t>
    </r>
  </si>
  <si>
    <t xml:space="preserve">O estudo não trouxe cópias dos Decretos Estaduais que declararam a utilidade pública das áreas a serem doadas à União.
</t>
  </si>
  <si>
    <r>
      <t xml:space="preserve">Dos 02 Carros de Resgate e Salvamento (CRS) existentes na SCI, apenas 01 (Serial ZCFD55C80D5937693) é avaliado de forma completa em relação ao estado de conservação e à vida útil. O outro, não localizado (Serial ZCFD55C80D597966), é avaliado de forma parcial, estimando-se a vida útil residual, conforme a metodologia descrita no item 1.4.1 do Relatório 02 - </t>
    </r>
    <r>
      <rPr>
        <i/>
        <sz val="11"/>
        <color theme="1"/>
        <rFont val="Times New Roman"/>
        <family val="1"/>
      </rPr>
      <t>Estudos de Engenharia e Afins</t>
    </r>
    <r>
      <rPr>
        <sz val="11"/>
        <color theme="1"/>
        <rFont val="Times New Roman"/>
        <family val="1"/>
      </rPr>
      <t xml:space="preserve">.
</t>
    </r>
  </si>
  <si>
    <r>
      <t>Não houve padronização acerca do entendimento sobre não conformidade. Embora o estudo mencione, na seção 1.3.2. Outras não-conformidade identificadas, que "</t>
    </r>
    <r>
      <rPr>
        <i/>
        <sz val="11"/>
        <color theme="1"/>
        <rFont val="Times New Roman"/>
        <family val="1"/>
      </rPr>
      <t>a Distância entre eixo da PPD e eixo da TWY D não obedece a requisito mínimo</t>
    </r>
    <r>
      <rPr>
        <sz val="11"/>
        <color theme="1"/>
        <rFont val="Times New Roman"/>
        <family val="1"/>
      </rPr>
      <t xml:space="preserve">", ignora situação semelhante referente ao afastamento insuficiente entre o eixo da pista de taxi "C" e a linha de segurança para aeronaves estacionadas no pátio 3. Ambas as situações são não-conformidades de projeto, mas operam com nível equivalente de segurança, conforme o NESO aprovado pela Portaria 2.997/SIA.
</t>
    </r>
  </si>
  <si>
    <r>
      <t xml:space="preserve">Não realizou a coleta de dados relacionados ao Tempo de Ocupação de Pista </t>
    </r>
    <r>
      <rPr>
        <i/>
        <sz val="11"/>
        <color theme="1"/>
        <rFont val="Times New Roman"/>
        <family val="1"/>
      </rPr>
      <t>in loco</t>
    </r>
    <r>
      <rPr>
        <sz val="11"/>
        <color theme="1"/>
        <rFont val="Times New Roman"/>
        <family val="1"/>
      </rPr>
      <t xml:space="preserve">, como preconiza a MCA 100-47. Esta variável foi estimada utilizando metodologia alternativa.
Estudo não traz considerações a respeito do possível impacto das operações de aeronaves de asa rotativa sobre a capacidade do sistema de pista.
</t>
    </r>
  </si>
  <si>
    <r>
      <t xml:space="preserve">No item 1.5.3, Sistema Terminal de Cargas, do Relatório 02 - </t>
    </r>
    <r>
      <rPr>
        <i/>
        <sz val="11"/>
        <color theme="1"/>
        <rFont val="Times New Roman"/>
        <family val="1"/>
      </rPr>
      <t>Estudos de Engenharia e Afins</t>
    </r>
    <r>
      <rPr>
        <sz val="11"/>
        <color theme="1"/>
        <rFont val="Times New Roman"/>
        <family val="1"/>
      </rPr>
      <t xml:space="preserve">, apresenta-se a avaliação dos componentes que integram o sistema do Terminal de Cargas (TECA) do aeroporto em estudo. Da análise, verifica-se que não foram apresentadas informações a respeito da avaliação da capacidade das Vias de Acesso ao TECA, restando incompleta, portanto, a análise desse sistema.
No item 1.5.5, Sistema de Aviação Geral, do Relatório 02 - </t>
    </r>
    <r>
      <rPr>
        <i/>
        <sz val="11"/>
        <color theme="1"/>
        <rFont val="Times New Roman"/>
        <family val="1"/>
      </rPr>
      <t>Estudos de Engenharia e Afins</t>
    </r>
    <r>
      <rPr>
        <sz val="11"/>
        <color theme="1"/>
        <rFont val="Times New Roman"/>
        <family val="1"/>
      </rPr>
      <t xml:space="preserve">, apresenta-se a avaliação dos componentes que integram o Sistema da Aviação Geral do aeroporto em estudo. Dentre os componentes avaliados, estão a Edificação, o Estacionamento de Veículos e os Hangares e Pátios Associados a esse sistema. Verifica-se, no entanto, que não foram apresentadas informações a respeito da avaliação da capacidade das Vias de Acesso, restando incompleta, portanto, a análise desse sistema.
O cálculo da capacidade do Estacionamento de Veículos do Sistema da Aviação Geral é apresentado no item 1.5.5.2 do Relatório 02 - </t>
    </r>
    <r>
      <rPr>
        <i/>
        <sz val="11"/>
        <color theme="1"/>
        <rFont val="Times New Roman"/>
        <family val="1"/>
      </rPr>
      <t>Estudos de Engenharia e Afins</t>
    </r>
    <r>
      <rPr>
        <sz val="11"/>
        <color theme="1"/>
        <rFont val="Times New Roman"/>
        <family val="1"/>
      </rPr>
      <t>. Verifica-se, ao se analisar as informações contidas no item, que não fora apresentada a metodologia de cálculo empregada na avaliação da capacidade instalada no componente operacional em questão.
No Relatório 02, item 1.5.8, Sistema de Apoio às Empresas Aéreas, apresenta-se a avaliação dos componentes que integram o Sistema de Apoio às Empresas Aéreas do aeroporto em estudo. Da análise, verifica-se que não foram apresentadas informações a respeito da avaliação da capacidade das Instalações de Administração, restando incompleta, portanto, a análise desse sistema.
No Relatório 02, item 1.5.10.6, apresenta-se a avaliação da capacidade do Sistema de Climatização do aeroporto. Da análise, verifica-se que não fora apresentada a memória de cálculo da capacidade de climatização oferecida pelo sistema, nem informada a metodologia que embasou a avaliação, de modo que seja possível concluir até que ponto a demanda poderá ser suprida pela capacidade instalada.
No Relatório 02, item 1.5.10, Sistema de Infraestrutura Básica, apresenta-se a avaliação dos sub-sistemas que integram o Sistema de Infraestrurtura Básica do aeroporto em estudo. Da análise, verifica-se que não foram apresentadas informações a respeito da avaliação da capacidade do sub-sistema de Drenagem do aeroporto, restando incompleta, portanto, a análise desse sistema.</t>
    </r>
  </si>
  <si>
    <t xml:space="preserve">Analisando-se as informações contidas no item 2.6.2.1.7 do Relatório 02, destinado à descrição das intervenções previstas no Sistema de Apoio às Operações, na Fase I, verifica-se que:
(i) não foi previsto aumento da capacidade de tancagem do PAA, conforme necessidade apontada no item 1.5.7.1 do mesmo relatório;
(ii) não foi previsto aumento de área de lote para adequação das instalações da SCI à categoria exigida, conforme necessidade apontada no item 1.5.7.2 do mesmo relatório.
No item 2.6.2.1.10 do Relatório 02, destinado à apresentação das intervenções previstas no Sistema de Infraestrutura Básica, na Fase I, verifica-se que não fica clara a intervenção prevista no sistema de climatização, conforme apontada no item 1.5.10 do mesmo relatório, identificando-se, tão somente, menção à metragem de área prevista para instalação de um sistema redundante.
</t>
  </si>
  <si>
    <t>Os estudos apontaram para a necessidade de melhorias de tráfego aéreo sem, contudo, apresentarem soluções, detalhamento ou justificativa de forma satistatória. Também não foi definido o cronograma de implantação das melhorias de tráfego, em atenção às fases da concessão ou à evolução da complexidade das operações.</t>
  </si>
  <si>
    <r>
      <t xml:space="preserve">O anteprojeto aloca cerca de 40% da capacidade calculada no dimensionamento da sala de embarque doméstica em área de sala de embarque internacional, prevendo seu uso de forma reversível (deduzido pela leitura dos desenhos, pois isso é muito superficialmente abordado no texto), o que é totalmente plausível do ponto de vista da otimização da infraestrutura. Porém a localização dos processadores de inspeção de segurança internacional e emigração faz com que toda a área de embarque internacional necessite ser bloqueada para essa reversibilidade doméstica. Um </t>
    </r>
    <r>
      <rPr>
        <i/>
        <sz val="11"/>
        <color theme="1"/>
        <rFont val="Times New Roman"/>
        <family val="1"/>
      </rPr>
      <t>layout</t>
    </r>
    <r>
      <rPr>
        <sz val="11"/>
        <color theme="1"/>
        <rFont val="Times New Roman"/>
        <family val="1"/>
      </rPr>
      <t xml:space="preserve"> mais ajustado, com esses processadores (bem como a área de </t>
    </r>
    <r>
      <rPr>
        <i/>
        <sz val="11"/>
        <color theme="1"/>
        <rFont val="Times New Roman"/>
        <family val="1"/>
      </rPr>
      <t>duty free</t>
    </r>
    <r>
      <rPr>
        <sz val="11"/>
        <color theme="1"/>
        <rFont val="Times New Roman"/>
        <family val="1"/>
      </rPr>
      <t xml:space="preserve">) alocados, por exemplo, na extremidade oposta do TPS, permitiria maior flexibilidade operacional, com fechamentos em pontos diferentes da sala de embarque, garantindo operações simultâneas DOM/INT e permitindo o ajuste da área reversível conforme a demanda.
</t>
    </r>
  </si>
  <si>
    <t xml:space="preserve">A parir de diversas, fontes (i.e. SAC, Declaração de Capacidade, TAC, Plano de Ações Corretivas, INFRAERO, visita in loco), o estudo declara um total de 21 obras existentes ou concluídas recentemente. Ocorre que 04 (quatro) contratos destes em andamento têm previsão para término das obras para 2022, conforme descrito a seguir:
* TWY - Alargamento da Taxiway C – Em andamento - 01/05/2021 - 01/03/2022; não foram obtidas informações a respeito do preço estimado para a obra. Para esta obra não há informações sobre as quantidades consideradas no CAPEX, e se foram deduzidas, de modo a aproveitar o que já está construído ou a construir até 31/12/2021, conforme expansão prevista para o desenvolvimento do aeroporto.
* INFRAERO (maio 2021) - Alargamento da Taxiway "A" e Taxiway e "Borda de Pátio 3" do SBBE em execução Contrato: TC0309-EG/2020/0004 – valor: R$ 6.281.550,00 – Andamento: 15,34% - Início: 05/04/2021 – término previsto INFRAERO: 30/03/2022. Não foi identificada na lista dos Estudos de Engenharia. Para esta obra não há informações sobre as quantidades consideradas no CAPEX, e se foram deduzidas, de modo a aproveitar o que já está construído ou a construir até 31/12/2021, conforme expansão prevista para o desenvolvimento do aeroporto.
* Edificação - Construção do novo - prédio da administração – Prédio Espelhado - Paralisada em 1º/01/2011 -R$ 8.000.000,00. Não foram obtidas informações a respeito da retomada da obra, quanto já foi executado e  possível andamento até 31/12/2021, ou seja, o quanto ainda será executado e qual o valor a ser considerado no CAPEX para efeito de dedução.
* Edificação - Construção do novo prédio de manutenção - Paralisada em 1º/01/2011 - R$ 2.600.00,00. Não foram obtidas informações a respeito da retomada da obra, quanto já foi executado e possível andamento até 31/12/2021, ou seja, o quanto ainda será executado e qual o valor a ser considerado no CAPEX para efeito de dedução.
</t>
  </si>
  <si>
    <t xml:space="preserve">Muito embora os estudos contenham metodologia, estimativa e ilustraçoes do modelo de terraplenagem desenvolvido, não é possível rastrear os quantitativos dos serviços dele resultantes, uma vez que não foram fornecidos os arquivos do anteprojeto de terraplenagem e os demais projetos, dados e informações utilizadas para o dimensionamento.
</t>
  </si>
  <si>
    <t xml:space="preserve">Há algumas composições analíticas de preços unitários (CAPU) sob incidência de BDI diverso do aplicado na planilhas de preço. Além disso, muito embora tenham sido aplicados os encargos trabalhistas sobre mão de obra horista com desoneração, a tabela de encargos sociais (ES) informa adoção de horista sem desoneração. Também houve a incidência de 2 BDIs diferentes em uma mesma planilhas de preços para os componentes de obras rodoviárias e de edificações, um deles com alíquota de ISS equivocada.
</t>
  </si>
  <si>
    <t>Ok</t>
  </si>
  <si>
    <t>Uma vez que o aeroporto possui operação significativa de aviação geral, com tendência de crescimento, o anteprojeto para o Terminal de Aviação Geral (TAG) deveria ser mais aprofundado, dada a importância da edificação na infraestrutura aeroportuária.</t>
  </si>
  <si>
    <t>O estudo aponta que a cabeceira 12 da pista de pouso está deslocada, mas não faz considerações sobre os motivos desta limitação da infraestrutura do aeroporto.</t>
  </si>
  <si>
    <t xml:space="preserve">O item 1.5.1.1.1.2 dos estudos de engenharia e afins define de forma incorreta o ponto de corte dos dados coletados no anuário DECEA, informando ter adotado como representativa, em vez da menor, a movimentação maior ou igual a 95% das demais.
</t>
  </si>
  <si>
    <r>
      <t>No item 1.5.5.1 do Relatório de Engenharia, dedicado à avaliação da capacidade do TAG, verifica-se a existência de informações inconsistentes, contidas no texto do citado item, na Tabela 1-83 (</t>
    </r>
    <r>
      <rPr>
        <i/>
        <sz val="11"/>
        <color theme="1"/>
        <rFont val="Times New Roman"/>
        <family val="1"/>
      </rPr>
      <t>Limite para Utilização de Edificação do Terminal de Aviação Geral - TA</t>
    </r>
    <r>
      <rPr>
        <sz val="11"/>
        <color theme="1"/>
        <rFont val="Times New Roman"/>
        <family val="1"/>
      </rPr>
      <t>) e na Figura 1-301 (</t>
    </r>
    <r>
      <rPr>
        <i/>
        <sz val="11"/>
        <color theme="1"/>
        <rFont val="Times New Roman"/>
        <family val="1"/>
      </rPr>
      <t>Capacidade x Demanda - Edificação Terminal de Aviação Geral</t>
    </r>
    <r>
      <rPr>
        <sz val="11"/>
        <color theme="1"/>
        <rFont val="Times New Roman"/>
        <family val="1"/>
      </rPr>
      <t xml:space="preserve">). No texto e na tabela, informa-se que a demanda é atendida até o ano 03 da concessão, entretanto, o gráfico indica que no ano de 2022 a demanda já supera a capacidade instalada no TAG. Ao se consultar o memorial de cálculo em Excel (SBMT_Engenharia_Capacidade Instalada - Infra Geral_1.00.xlsx), verifica-se que os dados de entrada relacionados com a demanda estão incompletos, resultando em ausência de informação.
O cálculo da capacidade do Estacionamento de Veículos do Sistema da Aviação Geral é apresentado no item 1.5.5.2 do Relatório 02 - </t>
    </r>
    <r>
      <rPr>
        <i/>
        <sz val="11"/>
        <color theme="1"/>
        <rFont val="Times New Roman"/>
        <family val="1"/>
      </rPr>
      <t>Estudos de Engenharia e Afins</t>
    </r>
    <r>
      <rPr>
        <sz val="11"/>
        <color theme="1"/>
        <rFont val="Times New Roman"/>
        <family val="1"/>
      </rPr>
      <t xml:space="preserve">. Ao se analisar as informações contidas no item, verifica-se que:
(i) não foi apresentada a metodologia de cálculo empregada na avaliação da capacidade instalada no componente operacional em questão;
(ii) existe incompatibilidade do resultado do cálculo com a demanda de passageiros prevista, ainda que esta se mostre limitada pelo número de movimentos de pista no ano 10 da Concessão, conforme se apresenta no estudo. Empregando-se a metodologia selecionada (não descrita no Relatório 02, mas cujas fórmulas estão disponíveis em arquivo auxiliar), verifica-se que, no ano 10 da Concessão, seriam necessárias mais vagas no estacionamento de veículos do que as 35 informadas. Tal conclusão é possível por meio da alimentação da planilha "SBMT_Engenharia_Capacidade Instalada - Infra Geral_1.00.xlsx" com as informações corretas, cujas fórmulas já se encontram inseridas. Verifica-se, portanto, erro na avaliação da capacidade do estacionamento de veículos.
No Relatório 02, item 1.5.10 Sistema de Infraestrutura Básica, apresenta-se a avaliação dos sub-sistemas que integram o Sistema de Infraestrurtura Básica do aeroporto em estudo. Da análise, verifica-se que não foram apresentadas informações a respeito da avaliação da capacidade do sub-sistema de Drenagem do aeroporto, restando incompleta, portanto, a análise desse sistema.
</t>
    </r>
  </si>
  <si>
    <t xml:space="preserve">No item 2.4.2 do Relatório 02, destinado à apresentação dos Critérios de Escolha da Alternativa para o desenvolvimento do sítio aeroportuário, verifica-se que a proposta escolhida (#3) envolve, para a implantação de hangares e pátios associados, necessidade de desmatamento de grande porção de vegetação densa, em Área de Proteção Permanente (APP) localizada no sítio aeroportuário. Em que pese a possível factibilidade da intervenção proposta, entende-se seja necessário aprofundamento da avaliação, considerando-se a atual dificuldade de obtenção de licença ambiental em áreas com tais características, apresentando-se, na hipótese de verificação de elevado nível de dificuldade na obtenção do necessário licenciamento ambiental, alternativas para a realização das modificações propostas.
Analisando-se as informações contidas no item 2.6.2.1.7 do Relatório 02, destinado à descrição das intervenções previstas no Sistema de Apoio às Operações, verifica-se que:
(i) não foi previsto aumento da capacidade de tancagem do PAA, conforme necessidade apontada no item 1.5.7.1 do mesmo relatório;
(ii) não foi previsto aumento de área de lote para adequação das instalações da SCI à categoria exigida, conforme necessidade apontada no item 1.5.7.2 do mesmo relatório.
No item 2.6.2.1.10 do Relatório 02, destinado à apresentação das intervenções previstas no Sistema de Infraestrutura Básica, na Fase I, verfica-se que:
(i) não foram previstas as intervenções para adequação dos Sitemas Eletromecânicos e de TI, conforme previstos no item 1.5.10.5 do mesmo relatório;
(ii) não foram previstas intervenções para aumento da capacidade do sistema de climatização, conforme necessidade apontada no item 1.5.10 do mesmo relatório.
</t>
  </si>
  <si>
    <t xml:space="preserve">Os estudos apontaram para a necessidade de melhorias de tráfego aéreo sem, contudo, apresentarem soluções, detalhamento ou justificativa de forma satistatória. Também não foi definido o cronograma de implantação das melhorias de tráfego, em atenção às fases da concessão ou à evolução da complexidade das operações.
</t>
  </si>
  <si>
    <t xml:space="preserve">Muito embora os estudos contenham metodologia, estimativa e ilustraçoes do modelo de terraplenagem desenvolvido, não é possível rastrear os quantitativos dos serviços dele resultantes, uma vez que não foram fornecidos os arquivos do anteprojeto de terraplenagem e os demais projetos, dados e informações utilizadas para o dimensionamento. Além disso, algumas distâncias médias de transporte (DMT) utilizadas para a composição de preços de serviços de valores expressivos foram estimadas, sem a devida justificativa para os valores adotados.
</t>
  </si>
  <si>
    <t xml:space="preserve">Há algumas composições analíticas de preços unitários (CAPU) sob incidência de BDI diverso do aplicado nas planilhas de preço. Além disso, muito embora tenham sido aplicados os encargos trabalhistas sobre mão de obra horista com desoneração, a tabela de encargos sociais (ES) informa adoção de horista sem desoneração. Foi utilizado, ainda, processo referencial incompatível com a especificidade ou o porte do TAG proposto no anteprojeto.
</t>
  </si>
  <si>
    <t>O estudo não abordou a destinação de área pela SPU (n. Ptr. 4005333-0) à Turma 87 (RFFSA). Tal área foi considerada como parte da área civil do aeroporto, no entanto, como já possui destinação diversa daquela afeta aos serviços aeroportuários, constitui-se em gleba que deverá ser apartada do sítio aeroportuário.</t>
  </si>
  <si>
    <t>Embora calculado corretamente na planilha de dimensionamento, o meio-fio de embarque/desembarque conforme representado nas plantas baixas do anteprojeto seria insuficiente para a atender à demanda projetada.</t>
  </si>
  <si>
    <r>
      <t xml:space="preserve">Na descrição da infraestrutua do Terminal de Passageiros (item 1.2.2.1 do Relatório 02 - </t>
    </r>
    <r>
      <rPr>
        <i/>
        <sz val="11"/>
        <color theme="1"/>
        <rFont val="Times New Roman"/>
        <family val="1"/>
      </rPr>
      <t>Estudos de Engenharia e Afins</t>
    </r>
    <r>
      <rPr>
        <sz val="11"/>
        <color theme="1"/>
        <rFont val="Times New Roman"/>
        <family val="1"/>
      </rPr>
      <t xml:space="preserve">), verifica-se que, na Figura 1-81 (derivada do Anexo 1.9), as áreas administrativas das empresas aéreas são apresentadas como sendo áreas comerciais (legenda e áreas hachuradas na cor azul). Tratam-se de áreas com finalidades de uso distintas, sendo estas, do ponto de vista do futuro operador aeroportuário, operacionais e não comerciais.
No item 1.2.2.2 do Relatório 2, descreve-se a infraestrutura do estacionamento de veículos do TPS disponível. Na descrição, cita-se as Figuras 1-56 e 1-57 como referência para a verificação da localização e das condições de conservação dos pavimentos. No entanto, tais informações são apresentadas por meio das Figuras 1-82 e 1-83.
No item 1.2.3.2 do Relatório 2, descreve-se a infraestrutura do TECA disponível. Na descrição, cita-se as Figuras 1-46 e 1-47 como referência para a verificação das instalações de recebimento e processamento de cargas. No entanto, tais informações são apresentadas por meio das Figuras 1-88 e 1-89.
No item 1.2.7.1 do Relatório 2, descreve-se a infraestrutura do PAA do aeroporto de Campo Grande. As imagens apresentadas nas Figuras 1-142 e 1-143, incluindo seus títulos, referem-se ao PAA do aeroporto de Congonhas.
</t>
    </r>
  </si>
  <si>
    <r>
      <t xml:space="preserve">A avaliação dos 05 aparelhos de Raio-X para inspeção de bagagens disponíveis no aeroporto foi realizada de forma parcial, uma vez que, conforme informado nas fichas de avaliação dos bens, contidas no Anexo 3, não foi possivel a avaliação por falta de informações. A avaliação desses equipamentos se deu, portanto, com base na estimativa da vida útil residual, conforme a metodologia descrita no item 1.4.1 do Relatório 02, Estudos de Engenharia e Afins.
Em relação aos equipamentos de auxílio à navegação instalados no aeroporto, apresentados no Anexo 3, verifica-se que, conforme informado nas fichas de avaliação dos bens, não foi possível a avaliação do D-VOR/DME, do Glide Path (GP) e do Localizer por falta de informações. Em que pese tenham sido relacionados, suas fichas não contêm informações que permitam, minimamente, conhecer as condições de conservação e vida útil dos bens. Em contrapartida, no item 1.2.4.2 do Relatório 02 - </t>
    </r>
    <r>
      <rPr>
        <i/>
        <sz val="11"/>
        <color theme="1"/>
        <rFont val="Times New Roman"/>
        <family val="1"/>
      </rPr>
      <t>Estudos de Engenharia e a Afins</t>
    </r>
    <r>
      <rPr>
        <sz val="11"/>
        <color theme="1"/>
        <rFont val="Times New Roman"/>
        <family val="1"/>
      </rPr>
      <t xml:space="preserve">, verifica-se a existência de menção ao estado de funcionamento dos equipamentos de auxílio rádio-navegação do aeroporto. Afirma-se, nessa parte do documento, de forma genérica, que os equipamentos estão em bom estado de conservação e que operam normalmente.
Em relação aos equipamentos de grande porte do sistema de energia elétrica, verifica-se que, no Anexo 3:
(i) não foram localizadas informações que permitam conhecer o estado de conservação e a vida útil dos 05 Transformadores existentes no aeroporto;
(ii) dos 05 Grupos Moto-Geradores existentes, apenas 02 foram relacionados e devidamente avaliados, quanto ao estado de conservação e a vida útil dos bens. Não foram localizadas informações a respeito dos outros 03 Grupos Moto-Geradores.
</t>
    </r>
  </si>
  <si>
    <r>
      <t xml:space="preserve">Não realizou a coleta de dados relacionados ao Tempo de Ocupação de Pista </t>
    </r>
    <r>
      <rPr>
        <i/>
        <sz val="11"/>
        <color theme="1"/>
        <rFont val="Times New Roman"/>
        <family val="1"/>
      </rPr>
      <t>in loco</t>
    </r>
    <r>
      <rPr>
        <sz val="11"/>
        <color theme="1"/>
        <rFont val="Times New Roman"/>
        <family val="1"/>
      </rPr>
      <t xml:space="preserve">, como preconiza a MCA 100-47. Esta variável foi estimada utilizando metodologia alternativa.
O estudo não traz considerações a respeito do possível impacto de operações de aeronaves de asa rotativa sobre a capacidade do sistema de pista.
</t>
    </r>
  </si>
  <si>
    <r>
      <t xml:space="preserve">No item 1.5.3, Sistema Terminal de Cargas, do Relatório 02 - </t>
    </r>
    <r>
      <rPr>
        <i/>
        <sz val="11"/>
        <color theme="1"/>
        <rFont val="Times New Roman"/>
        <family val="1"/>
      </rPr>
      <t>Estudos de Engenharia e Afins</t>
    </r>
    <r>
      <rPr>
        <sz val="11"/>
        <color theme="1"/>
        <rFont val="Times New Roman"/>
        <family val="1"/>
      </rPr>
      <t xml:space="preserve">, apresenta-se a avaliação dos componentes que integram o sistema do Terminal de Cargas (TECA) do aeroporto em estudo. Da análise, verifica-se que não foram apresentadas informações a respeito da avaliação da capacidade das Vias de Acesso ao TECA, restando incompleta, portanto, a análise desse sistema.
No Relatório 02, item 1.5.8, Sistema de Apoio às Empresas Aéreas, apresenta-se a avaliação dos componentes que integram o Sistema de Apoio às Empresas Aéreas do aeroporto em estudo. Da análise, verifica-se que não foram apresentadas informações a respeito da avaliação da capacidade das Instalações de Administração, restando incompleta, portanto, a análise desse sistema.
No item 1.5.10.2 Água Potável, do Relatório 02 - </t>
    </r>
    <r>
      <rPr>
        <i/>
        <sz val="11"/>
        <color theme="1"/>
        <rFont val="Times New Roman"/>
        <family val="1"/>
      </rPr>
      <t>Estudos de Engenharia e Afins</t>
    </r>
    <r>
      <rPr>
        <sz val="11"/>
        <color theme="1"/>
        <rFont val="Times New Roman"/>
        <family val="1"/>
      </rPr>
      <t xml:space="preserve">, apresenta-se a avaliação da capacidade do sistema de fornecimento de água potável do aeroporto. Aplicando-se a metodologia selecionada, verifica-se que já não há, atualmente, capacidade para atendimento à demanda de forma adequada. O resultado do cálculo é apresentado na Tabela 1-155 e na Figura 1-351, em que se retrata a relação entre a capacidade dos reservatórios de água potável do aeroporto e a demanda prevista. Em ambos os documentos, aponta-se capacidade insuficiente. Entretanto, textualmente, informa-se que a demanda é atendida ao longo do período de concessão do aeroporto.
No Relatório 02, item 1.5.10.6, apresenta-se a avaliação da capacidade do Sistema de Climatização do aeroporto. Da análise, verifica-se que não foi apresentada a memória de cálculo da capacidade de climatização oferecida pelo sistema, nem informada a metodologia que embasou a avaliação, de modo que seja possível concluir se, de fato, a demanda será suprida pela capacidade instalada.
No Relatório 02, item 1.5.10, Sistema de Infraestrutura Básica, apresenta-se a avaliação dos sub-sistemas que integram o Sistema de Infraestrurtura Básica do aeroporto em estudo. Da análise, verifica-se que não foram apresentadas informações a respeito da avaliação da capacidade do sub-sistema de Drenagem do aeroporto, restando incompleta, portanto, a análise desse sistema.
</t>
    </r>
  </si>
  <si>
    <t>Analisando-se as informações contidas no item 2.6.2.1.7 do Relatório 02, destinado à descrição das intervenções previstas no Sistema de Apoio às Operações, verifica-se que não foi previsto aumento da capacidade de tancagem do PAA, conforme necessidade apontada no item 1.5.7.1 do mesmo relatório.</t>
  </si>
  <si>
    <t xml:space="preserve">Em que pese os estudos informem terem realizado ensaios de sondagem em alguns pontos do sítio aeroportuário, não foram fornecidos os resultados do furo localizado na região da edificação do TPS.
</t>
  </si>
  <si>
    <t>Segundo o Relatório de obras dos aeroportos da 7ª rodada do PND, fornecido pela Diretoria de Operações e Serviços Técnicos (D.O.) da INFRAERO (OFÍCIO Nº SEDE-OFI-2021/05490, de 14/06/2021), consta da relação de obras e serviços técnicos 2021 em andamento (ref. maio/2021) a seguinte intervenção: Item 9 - Reforma e adequação das pistas de táxi "A" e "F" e dos pátios de aeronaves 1 e 2 do SBCG - em Execução - TC0325-EG/2020/0017 - R$ 19.750.000,00 - 53,11% - 15/02/2021 a 05/02/2022. Contudo, o estudo não forneceu informações a respeito da execução de tal obra, com término previsto para 2022. Muito embora o Plano de Desenvolvimento contido no estudo de engenharia informe a realização de intervenções nas pistas de Taxi e nos pátios de aeronaves durante o período de concessão do aeroporto, deveria traçar avaliação quanto a sua continuidade e finalização, bem como considerar eventuais aproveitamentos para efeito de estimativa de CAPEX.</t>
  </si>
  <si>
    <t xml:space="preserve">Há algumas composições analíticas de preços unitários (CAPU) sob incidência de BDI diverso do aplicado na planilhas de preço. Além disso, muito embora tenham sido aplicados os encargos trabalhistas sobre mão de obra horista com desoneração, a tabela de encargos sociais (ES) informa adoção de horista sem desoneração. Foi utilizado, ainda, processo referencial incompatível com a especificidade ou o porte do TPS proposto no anteprojeto.
</t>
  </si>
  <si>
    <t xml:space="preserve">Dado o valor expressivo de recuperação do Passivo P29 (R$ 3.535.562,69), o qual impacta de maneira relevante o CAPEX do aeroporto, considera-se que a fundamentação e análise custo-benefício da ação não foi suficientemente robusta.
</t>
  </si>
  <si>
    <r>
      <t xml:space="preserve">Não são apresentadas informações a respeito do estado de consevação e da vida útil dos 03 elevadores existentes no Terminal de Passageiros.
Não são apresentadas informações a respeito do estado de conservação e da vida útil das 02 esteiras de restituição de bagagens existentes na Sala de Desembarque.
Em relação aos equipamentos de grande porte do sistema de energia elétrica, verifica-se que, dos 03 transformadores existentes, nenhum foi avaliado de forma adequada. Apenas 01 foi relacionado, tendo sido avaliado de forma parcial, com base na estimativa de vida útil residual, conforme a metodologia descrita no item 1.4.1 do Relatório 02 - </t>
    </r>
    <r>
      <rPr>
        <i/>
        <sz val="11"/>
        <color theme="1"/>
        <rFont val="Times New Roman"/>
        <family val="1"/>
      </rPr>
      <t>Estudos de Engenharia e Afins</t>
    </r>
    <r>
      <rPr>
        <sz val="11"/>
        <color theme="1"/>
        <rFont val="Times New Roman"/>
        <family val="1"/>
      </rPr>
      <t xml:space="preserve">. Não foram localizadas informações a respeito dos outros 02 transformadores.
</t>
    </r>
  </si>
  <si>
    <t xml:space="preserve">A Figura 1-243 identifica erroneamente a faixa de pista com 150 m, em vez de 140 m (RBAC 154.217).
</t>
  </si>
  <si>
    <r>
      <t xml:space="preserve">O cálculo da capacidade da Edificação do Terminal da Aviação Geral é apresentado no item 1.5.5.1 do Relatório 02 - </t>
    </r>
    <r>
      <rPr>
        <i/>
        <sz val="11"/>
        <color theme="1"/>
        <rFont val="Times New Roman"/>
        <family val="1"/>
      </rPr>
      <t>Estudos de Engenharia e Afins</t>
    </r>
    <r>
      <rPr>
        <sz val="11"/>
        <color theme="1"/>
        <rFont val="Times New Roman"/>
        <family val="1"/>
      </rPr>
      <t xml:space="preserve">. Verifica-se, ao se analisar as informações contidas no item, que não foi apresentada a metodologia de cálculo empregada na avaliação da capacidade instalada no componente operacional em questão.
No Relatório 02, item 1.5.8, Sistema de Apoio às Empresas Aéreas, apresenta-se a avaliação dos componentes que integram o Sistema de Apoio às Empresas Aéreas do aeroporto em estudo. Da análise, verifica-se que não foram apresentadas informações a respeito da avaliação da capacidade das Instalações de Administração, restando incompleta, portanto, a análise desse sistema.
No Relatório 02, item 1.5.10, Sistema de Infraestrutura Básica, apresenta-se a avaliação dos sub-sistemas que integram o Sistema de Infraestrurtura Básica do aeroporto em estudo. Da análise, verifica-se que não foram apresentadas informações a respeito da avaliação da capacidade do sub-sistema de Drenagem do aeroporto, restando incompleta, portanto, a análise desse sistema.
</t>
    </r>
  </si>
  <si>
    <t xml:space="preserve">Há algumas composições analíticas de preços unitários (CAPU) sob incidência de BDI diverso do aplicado na planilhas de preço. Além disso, muito embora tenham sido aplicados os encargos trabalhistas sobre mão de obra horista com desoneração, a tabela de encargos sociais (ES) informa adoção de horista sem desoneração.
</t>
  </si>
  <si>
    <t xml:space="preserve">O estudo não apresenta as características dos imóveis a serem desapropriados, não traz informações acerca da titularidade dos mesmos, assim como, não detalha a metodologia utilizada para a valoração das áreas.
</t>
  </si>
  <si>
    <r>
      <t xml:space="preserve">Não apresenta informações a respeito do estado de conservação e da vida útil dos 02 aparelhos de Raio-X para inspeção de bagagem existentes.
Não apresenta avaliação completa do estado de conservação e da vida útil do Carro de Resgate e Salvamento (CRS) existente na SCI. Em relação a esse bem, a avaliação é feita de forma parcial, estimando-se a vida útil residual, conforme a metodologia descrita no item 1.4.1 do Relatório 02 - </t>
    </r>
    <r>
      <rPr>
        <i/>
        <sz val="11"/>
        <color theme="1"/>
        <rFont val="Times New Roman"/>
        <family val="1"/>
      </rPr>
      <t>Estudos de Engenharia e Afins</t>
    </r>
    <r>
      <rPr>
        <sz val="11"/>
        <color theme="1"/>
        <rFont val="Times New Roman"/>
        <family val="1"/>
      </rPr>
      <t xml:space="preserve">.
</t>
    </r>
  </si>
  <si>
    <r>
      <t xml:space="preserve">O item 1.5.1.1.1.2 do Relatório 02 - </t>
    </r>
    <r>
      <rPr>
        <i/>
        <sz val="11"/>
        <color theme="1"/>
        <rFont val="Times New Roman"/>
        <family val="1"/>
      </rPr>
      <t>Estudos de Engenharia e Afins</t>
    </r>
    <r>
      <rPr>
        <sz val="11"/>
        <color theme="1"/>
        <rFont val="Times New Roman"/>
        <family val="1"/>
      </rPr>
      <t xml:space="preserve">  define de forma incorreta o ponto de corte dos dados coletados no anuário DECEA, informando ter adotado como representativa, em vez da menor, a movimentação maior ou igual a 95% das demais.
</t>
    </r>
  </si>
  <si>
    <r>
      <t xml:space="preserve">O cálculo da capacidade do Estacionamento de Veículos do Sistema da Aviação Geral é apresentado no item 1.5.5.2 do Relatório 02 - </t>
    </r>
    <r>
      <rPr>
        <i/>
        <sz val="11"/>
        <color theme="1"/>
        <rFont val="Times New Roman"/>
        <family val="1"/>
      </rPr>
      <t>Estudos de Engenharia e Afins</t>
    </r>
    <r>
      <rPr>
        <sz val="11"/>
        <color theme="1"/>
        <rFont val="Times New Roman"/>
        <family val="1"/>
      </rPr>
      <t>. Verifica-se, ao se analisar as informações contidas no item, que não foi apresentada a metodologia de cálculo empregada na avaliação da capacidade instalada no componente operacional em questão.
No item 1.5.7.1 Parque de Abastecimento de Aeronaves (PAA), avalia-se a capacidade do Parque de Abastecimento de Aeronaves, tanto em termos de capacidade de tancagem quanto em termos de área de lote. Na Tabela 1-92, apresenta-se o resultado do cálculo da capacidade do PAA, em termos de área de lote, considerando-se a NBR 9719, cujo resultado aponta para o atendimento à norma, até o final da Concessão. Na Figura 1-258, apresenta-se, graficamente, a avaliação da capacidade em face da demanda prevista, durante o período da Concessão. Ambos indicam atendimento à norma de referência. Entretanto, textualmente, informa-se que "</t>
    </r>
    <r>
      <rPr>
        <i/>
        <sz val="11"/>
        <color theme="1"/>
        <rFont val="Times New Roman"/>
        <family val="1"/>
      </rPr>
      <t>a demanda não é atendida, sendo necessárias intervenções relacionadas à área do lote para proporcionar aumento da capacidade</t>
    </r>
    <r>
      <rPr>
        <sz val="11"/>
        <color theme="1"/>
        <rFont val="Times New Roman"/>
        <family val="1"/>
      </rPr>
      <t xml:space="preserve">".
No Relatório 02, item 1.5.10, Sistema de Infraestrutura Básica, apresenta-se a avaliação dos sub-sistemas que integram o Sistema de Infraestrurtura Básica do aeroporto em estudo. Da análise, verifica-se que não foram apresentadas informações a respeito da avaliação da capacidade do sub-sistema de Drenagem do aeroporto, restando incompleta, portanto, a análise desse sistema.
</t>
    </r>
  </si>
  <si>
    <t xml:space="preserve">Uma vez que o aeroporto possui operação significativa de aviação geral, com tendência de crescimento, o anteprojeto para o Terminal de Aviação Geral (TAG) deveria ser mais aprofundado, dada a importância da edificação na infraestrutura aeroportuária.
</t>
  </si>
  <si>
    <t xml:space="preserve">Em que pese os estudos informem a realização de ensaios de sondagem em alguns pontos do sítio aeroportuário, não foram fornecidos os resultados do furo localizado na região da edificação do TAG.
</t>
  </si>
  <si>
    <t xml:space="preserve">Muito embora os estudos contenham metodologia, estimativa e ilustrações do modelo de terraplenagem desenvolvido, não é possível rastrear os quantitativos dos serviços dele resultantes, uma vez que não foram fornecidos os arquivos do anteprojeto de terraplenagem e os demais projetos, dados e informações utilizadas para o dimensionamento. Além disso, algumas distâncias médias de transporte (DMT) utilizadas para a composição de preços de serviços de valores expressivos foram estimadas, sem a devida justificativa para os valores adotados. 
</t>
  </si>
  <si>
    <t xml:space="preserve">Nos itens 2.6.2.1.6 e 2.6.2.2.6 do Relatório 02, destinados à descrição das intervenções previstas no Sistema de Administração e Manutenção, verifica-se que não foi previsto investimento para aumento da capacidade das Instalações de Manutenção, conforme necessidade apontada no item 1.5.6.1 do mesmo relatório.
Analisando-se as informações contidas nos itens 2.6.2.1.7 e 2.6.2.2.7 do Relatório 02, destinado à descrição das intervenções previstas no Sistema de Apoio às Operações, verifica-se que:
(i) não foi previsto aumento da capacidade de tancagem do PAA, conforme necessidade apontada no item 1.5.7.1 do mesmo relatório;
(ii) não foi previsto aumento de área de lote para adequação das instalações da SCI à categoria exigida, conforme necessidade apontada no item 1.5.7.2 do mesmo relatório.
No item 2.6.2.1.10 do Relatório 02, destinado à apresentação das intervenções previstas no Sistema de Infraestrutura Básica, na Fase I, verifica-se que não fica clara a intervenção prevista no sistema de climatização, conforme apontada no item 1.5.10 do mesmo relatório, identificando-se, tão somente, menção à metragem de área prevista para instalação de um sistema redundante.
</t>
  </si>
  <si>
    <r>
      <t xml:space="preserve">Na descrição da infraestrutua do Terminal de Passageiros, item 1.2.2.1 do Relatório 02 - </t>
    </r>
    <r>
      <rPr>
        <i/>
        <sz val="11"/>
        <color theme="1"/>
        <rFont val="Times New Roman"/>
        <family val="1"/>
      </rPr>
      <t>Estudos de Engenharia e Afins</t>
    </r>
    <r>
      <rPr>
        <sz val="11"/>
        <color theme="1"/>
        <rFont val="Times New Roman"/>
        <family val="1"/>
      </rPr>
      <t xml:space="preserve">, verifica-se que, na Figura 1-75 (derivada do Anexo 1.10), as áreas administrativas das empresas aéreas são apresentadas como sendo áreas comerciais (legenda e áreas hachuradas na cor azul). Tratam-se de áreas com finalidades de uso distintas, sendo estas, do ponto de vista do futuro operador aeroportuário, operacionais e não comerciais.
</t>
    </r>
  </si>
  <si>
    <r>
      <t xml:space="preserve">Não realizou a coleta de de dados relacionados ao Tempo de Ocupação de Pista </t>
    </r>
    <r>
      <rPr>
        <i/>
        <sz val="11"/>
        <color theme="1"/>
        <rFont val="Times New Roman"/>
        <family val="1"/>
      </rPr>
      <t>in loco</t>
    </r>
    <r>
      <rPr>
        <sz val="11"/>
        <color theme="1"/>
        <rFont val="Times New Roman"/>
        <family val="1"/>
      </rPr>
      <t xml:space="preserve">, como preconiza a MCA 100-47. Esta variável foi estimada utilizando metodologia alternativa.
Estudo não traz considerações a respeito do possível impacto das operações de aeronaves de asa rotativa sobre a capacidade do sistema de pista.
</t>
    </r>
  </si>
  <si>
    <t xml:space="preserve">Analisando-se as informações contidas no item 2.6.2.1.5 do Relatório 02, destinado à descrição das intervenções previstas no Sistema de Aviação Geral, na Fase I, verifica-se que:
(i) não foi previsto investimento para transformação do atual Terminal de Passageiros em Terminal de Aviação Geral, em consonância com a proposta contida na alternativa selecionada (#1) e atendimento à necessidade apontada no item 1.5.5.1 do mesmo relatório;
(ii) não foi previsto investimento para ampliação da capacidade dos Hangares e Pátios associados à Aviação Geral, conforme necessidade apontada no item 1.5.5.3 do mesmo relatório.
Analisando-se as informações contidas no item 2.6.2.1.7 do Relatório 02, destinado à descrição das intervenções previstas no Sistema de Apoio às Operações, na Fase I, verifica-se que não foi previsto aumento da capacidade de tancagem do PAA, conforme necessidade apontada no item 1.5.7.1 do mesmo relatório.
No item 2.6.2.1.10 do Relatório 02, destinado à apresentação das intervenções previstas no Sistema de Infraestrutura Básica, na Fase I, não fica clara a intervenção prevista no sistema de climatização, conforme apontada no item 1.5.10 do mesmo relatório, identificando-se, tão somente, menção à metragem de área prevista para instalação de um sistema redundante.
</t>
  </si>
  <si>
    <t xml:space="preserve">Não são apresentadas investigações sobre os eventuais efeitos da mudança do acesso viário do aeroporto (já que o novo TPS ficaria localizado no lado oposto do sítio), como facilidade de acesso ao aeroporto, implicações para o trânsito na região, etc.
</t>
  </si>
  <si>
    <r>
      <t xml:space="preserve">Os componentes saguão de embarque/desembarque e fila de </t>
    </r>
    <r>
      <rPr>
        <i/>
        <sz val="11"/>
        <color theme="1"/>
        <rFont val="Times New Roman"/>
        <family val="1"/>
      </rPr>
      <t xml:space="preserve">check-in </t>
    </r>
    <r>
      <rPr>
        <sz val="11"/>
        <color theme="1"/>
        <rFont val="Times New Roman"/>
        <family val="1"/>
      </rPr>
      <t xml:space="preserve">apresentam-se subdimensionados no anteprojeto para o novo TPS proposto, com áreas que não correspondem às mínimas calculadas na planilha para atender à demanda projetada. Alem destes componentes do TPS, o meio-fio de embarque/desembarque conforme representado nas plantas do anteprojeto também não atenderia à capacidade de processamento necessária descrita na planilha de dimensionamento. Por fim, devido à necessidade de se prover pontes de embarque que, a depender da configuração do TPS, provoca algum superdimensionamento na sala de embarque, há desbalanceamento em relação à sala de desembarque, que conta com apenas uma esteira de restituição de bagagens.
</t>
    </r>
  </si>
  <si>
    <t xml:space="preserve">Em que pese os estudos informem a realização de ensaios de sondagem em alguns pontos do sítio aeroportuário, não foram fornecidos os resultados do furo localizado na região da edificação do TPS.
</t>
  </si>
  <si>
    <r>
      <t xml:space="preserve">Na descrição da infraestrutua do Terminal de Passageiros, item 1.2.2.1 do Relatório 02 - </t>
    </r>
    <r>
      <rPr>
        <i/>
        <sz val="11"/>
        <color theme="1"/>
        <rFont val="Times New Roman"/>
        <family val="1"/>
      </rPr>
      <t>Estudos de Engenharia e Afins</t>
    </r>
    <r>
      <rPr>
        <sz val="11"/>
        <color theme="1"/>
        <rFont val="Times New Roman"/>
        <family val="1"/>
      </rPr>
      <t xml:space="preserve">, verifica-se que, na Figura 1-55 (derivada do Anexo 1.9), as áreas administrativas das empresas aéreas são apresentadas como sendo áreas comerciais (legenda e áreas hachuradas na cor azul). Tratam-se de áreas com finalidades de uso distintas, sendo estas, do ponto de vista do futuro operador aeroportuário, operacionais e não comerciais.
</t>
    </r>
  </si>
  <si>
    <r>
      <t xml:space="preserve">Em relação aos equipamentos de grande porte do sistema de energia elétrica, verifica-se que não foram apresentadas informações a respeito do estado de conservação e da vida útil do único transformador existente no aeroporto.
Dos 04 Carros Contra Incêndio (CCI) existentes na SCI, somente 03 foram efetivamente avaliados, considerando o estado de conservação e a vida útil dos bens. Quanto ao outro (01), a avaliação é feita de forma parcial, estimando-se a vida útil residual, conforme a metodologia descrita no item 1.4.1 do Relatório 02 - </t>
    </r>
    <r>
      <rPr>
        <i/>
        <sz val="11"/>
        <color theme="1"/>
        <rFont val="Times New Roman"/>
        <family val="1"/>
      </rPr>
      <t>Estudos de Engenharia e Afins</t>
    </r>
    <r>
      <rPr>
        <sz val="11"/>
        <color theme="1"/>
        <rFont val="Times New Roman"/>
        <family val="1"/>
      </rPr>
      <t xml:space="preserve">.
</t>
    </r>
  </si>
  <si>
    <t xml:space="preserve">A Figura 1-205 identifica erroneamente a faixa de pista com 150 m, em vez de 140 m (RBAC 154.217).
</t>
  </si>
  <si>
    <t xml:space="preserve">A configuração considerada para o TPS existente não corresponde à realidade, já que as ampliações que a Infraero está realizando, que aumentarão consideravelmente a área do terminal e que estarão operacionais antes da concessão, não foram consideradas em sua totalidade na avaliação de capacidade das áreas operacionais.
</t>
  </si>
  <si>
    <r>
      <t xml:space="preserve">Não realizou a coleta de dados relacionados ao Tempo de Ocupação de Pista </t>
    </r>
    <r>
      <rPr>
        <i/>
        <sz val="11"/>
        <color theme="1"/>
        <rFont val="Times New Roman"/>
        <family val="1"/>
      </rPr>
      <t>in loco</t>
    </r>
    <r>
      <rPr>
        <sz val="11"/>
        <color theme="1"/>
        <rFont val="Times New Roman"/>
        <family val="1"/>
      </rPr>
      <t xml:space="preserve">, como preconiza a MCA 100-47. Esta variável foi estimada utilizando metodologia alternativa.
O estudo não traz considerações a respeito do possível impacto das operações de aeronaves de asa rotativa sobre a capacidade do sistema de pista.
</t>
    </r>
  </si>
  <si>
    <t xml:space="preserve">No Relatório 02, item 1.5.8, Sistema de Apoio às Empresas Aéreas, apresenta-se a avaliação dos componentes que integram o Sistema de Apoio às Empresas Aéreas do aeroporto em estudo. Da análise, verifica-se que não foram apresentadas informações a respeito da avaliação da capacidade das Instalações de Administração, restando incompleta, portanto, a análise desse sistema.
No Relatório 02, item 1.5.10, Sistema de Infraestrutura Básica, apresenta-se a avaliação dos sub-sistemas que integram o Sistema de Infraestrurtura Básica do aeroporto em estudo. Da análise, verifica-se que não foram apresentadas informações a respeito da avaliação da capacidade do sub-sistema de Drenagem do aeroporto, restando incompleta, portanto, a análise desse sistema.
</t>
  </si>
  <si>
    <t xml:space="preserve">Analisando-se as informações contidas no item 2.6.2.2.5 do Relatório 02, destinado à descrição das intervenções previstas no Sistema de Aviação Geral, na Fase 2, verifica-se que não foi previsto investimento para ampliação da capacidade dos Hangares e Pátios associados à Aviação Geral, conforme necessidade apontada no item 1.5.5.3 do mesmo relatório.
Analisando-se as informações contidas no item 2.6.2.1.7 do Relatório 02, destinado à descrição das intervenções previstas no Sistema de Apoio às Operações, na Fase I, verifica-se que não foi previsto aumento da capacidade de tancagem do PAA, conforme necessidade apontada no item 1.5.7.1 do mesmo relatório.
No item 2.6.2.1.10 do Relatório 02, destinado à apresentação das intervenções previstas no Sistema de Infraestrutura Básica, na Fase I, verfica-se que não fica clara a intervenção prevista no sistema de climatização, conforme apontada no item 1.5.10 do mesmo relatório, identificando-se, tão somente, menção à metragem de área prevista para instalação de um sistema redundante.
</t>
  </si>
  <si>
    <t xml:space="preserve">Na descrição da infraestrutua do Terminal de Passageiros, item 1.2.2.1 do Relatório 02, Estudos de Engenharia e Afins, verifica-se que, na Figura 1-52 (derivada do Anexo 1.9), as áreas administrativas das empresas aéreas são apresentadas como sendo áreas comerciais (legenda e áreas hachuradas na cor azul). Tratam-se de áreas com finalidades de uso distintas, sendo estas, do ponto de vista do futuro operador aeroportuário, operacionais e não comerciais.
</t>
  </si>
  <si>
    <r>
      <t xml:space="preserve">Não foram localizadas, no Anexo 3, quaisquer informações a respeito do estado de conservação e da vida útil do Pórtico Detector de Metais da Inspeção de Seguança.
Em relação aos equipamentos de auxílio à navegação existentes no aeroporto, dos 02 PAPI instalados, apenas 01 foi relacionado e integralmente avaliado no Anexo 3. Não foram localizadas informações adicionais a respeitdo do outro PAPI. Verifica-se, no entanto, no item 1.2.4.2 do Relatório 02 - </t>
    </r>
    <r>
      <rPr>
        <i/>
        <sz val="11"/>
        <color theme="1"/>
        <rFont val="Times New Roman"/>
        <family val="1"/>
      </rPr>
      <t>Estudos de Engenharia e a Afins</t>
    </r>
    <r>
      <rPr>
        <sz val="11"/>
        <color theme="1"/>
        <rFont val="Times New Roman"/>
        <family val="1"/>
      </rPr>
      <t xml:space="preserve">, a existência de menção ao estado de funcionamento dos equipamentos de auxílio rádio-navegação do aeroporto. Afirma-se, nesse trecho do documento, de forma genérica, que os equipamentos estão em bom estado de conservação e que operam normalmente.
No que se refere aos equipamentos de grande porte do sistema de energia elétrica, verifica-se que, no Anexo 3, não foram localizadas informações a respeito do único Transformador existente no aeroporto.
</t>
    </r>
  </si>
  <si>
    <r>
      <t xml:space="preserve">O estudo cita o Decreto Municipal n° 3.474/92, no entanto, não apresenta cópia do documento junto ao anexo </t>
    </r>
    <r>
      <rPr>
        <i/>
        <sz val="11"/>
        <color theme="1"/>
        <rFont val="Times New Roman"/>
        <family val="1"/>
      </rPr>
      <t xml:space="preserve">due diligence </t>
    </r>
    <r>
      <rPr>
        <sz val="11"/>
        <color theme="1"/>
        <rFont val="Times New Roman"/>
        <family val="1"/>
      </rPr>
      <t xml:space="preserve">imobiliária.
</t>
    </r>
  </si>
  <si>
    <t xml:space="preserve">Não foram realizadas considerações sobre os motivos da THR 04 estar deslocada.
</t>
  </si>
  <si>
    <r>
      <t xml:space="preserve">O estudo não realizou a coleta de dados relacionados ao Tempo de Ocupação de Pista </t>
    </r>
    <r>
      <rPr>
        <i/>
        <sz val="11"/>
        <color theme="1"/>
        <rFont val="Times New Roman"/>
        <family val="1"/>
      </rPr>
      <t>in loco</t>
    </r>
    <r>
      <rPr>
        <sz val="11"/>
        <color theme="1"/>
        <rFont val="Times New Roman"/>
        <family val="1"/>
      </rPr>
      <t xml:space="preserve">, como preconiza a MCA 100-47. Esta variável foi estimada utilizando metodologia alternativa.
O estudo não traz considerações a respeito do possível impacto de operações de aeronaves de asa rotativa sobre a capacidade do sistema de pista.
O estudo conclui que o pátio atual não tem capacidade  para operar aeronaves comerciais. Entretanto, desde maio/21 a sinalização de pátio do aeroporto foi modificada para comportar aeronaves CR C (A320, ATR-72, etc.). Antes disso, o SBPP também já recebia aeronaves desse porte com base em procedimentos operacionais específicos dispostos na Instrução de Trabalho IT  PP 11.01 do aeroporto.
</t>
    </r>
  </si>
  <si>
    <t xml:space="preserve">Analisando-se as informações contidas no item 2.6.2.1.7 do Relatório 02, destinado à descrição das intervenções previstas no Sistema de Apoio às Operações, verifica-se que não fora previsto aumento da capacidade de tancagem do PAA, conforme necessidade apontada no item 1.5.7.1 do mesmo relatório.
No item 2.6.2.1.10 do Relatório 02, destinado à apresentação das intervenções previstas no Sistema de Infraestrutura Básica, na Fase I, verifica-se que não fora prevista intervenção para aumento da capacidade do sistema de climatização, conforme necessidade apontada no item 1.5.10 do mesmo relatório.
</t>
  </si>
  <si>
    <t xml:space="preserve">O anteprojeto apresenta, na sala de desembarque, esteira de restituição de bagagens com características que não atendem a requisitos vigentes de AVSEC (permite recirculação da esteira pela área restrita).
</t>
  </si>
  <si>
    <t xml:space="preserve">Na descrição da infraestrutua do Terminal de Passageiros, item 1.2.2.1 do Relatório 02, Estudos de Engenharia e Afins, verifica-se que, na Figura 1-88 (derivada do Anexo 1.9), as áreas administrativas das empresas aéreas são apresentadas como sendo áreas comerciais (legenda e áreas hachuradas na cor azul). Tratam-se de áreas com finalidades de uso distintas, sendo estas, do ponto de vista do futuro operador aeroportuário, operacionais e não comerciais.
</t>
  </si>
  <si>
    <r>
      <t xml:space="preserve">Em relação aos equipamentos de grande porte do sistema de energia elétrica, verifica-se que, no Anexo 3, dos 03 Transformadores existentes, apenas 02 foram relacionados e, desses 02, 01 foi avaliado de forma integral quanto ao estado de conservação e à vida útil e 01 de forma parcial, com base na estimativa de vida útil residual, conforme a metodologia descrita no item 1.4.1 do Relatório 02 - </t>
    </r>
    <r>
      <rPr>
        <i/>
        <sz val="11"/>
        <color theme="1"/>
        <rFont val="Times New Roman"/>
        <family val="1"/>
      </rPr>
      <t>Estudos de Engenharia e Afins</t>
    </r>
    <r>
      <rPr>
        <sz val="11"/>
        <color theme="1"/>
        <rFont val="Times New Roman"/>
        <family val="1"/>
      </rPr>
      <t xml:space="preserve">. Em resumo, dos 03 Transformadores, 01 foi avaliado integralmente, 01 foi avaliado parcialmente e 01 não foi localizado.
</t>
    </r>
  </si>
  <si>
    <t xml:space="preserve">O estudo aponta interdição de um trecho da pista de pouso e decolagem (PDD), mas não faz considerações sobre os motivos desta limitação da infraestrutura do aeroporto.
</t>
  </si>
  <si>
    <r>
      <t xml:space="preserve">O estudo não realizou a coleta de de dados relacionados ao Tempo de Ocupação de Pista </t>
    </r>
    <r>
      <rPr>
        <i/>
        <sz val="11"/>
        <color theme="1"/>
        <rFont val="Times New Roman"/>
        <family val="1"/>
      </rPr>
      <t>in loco</t>
    </r>
    <r>
      <rPr>
        <sz val="11"/>
        <color theme="1"/>
        <rFont val="Times New Roman"/>
        <family val="1"/>
      </rPr>
      <t xml:space="preserve">, como preconiza a MCA 100-47. Esta variável foi estimada utilizando metodologia alternativa.
O estudo não traz considerações a respeito do possível impacto de operações de aeronaves de asa rotativa sobre a capacidade do sistema de pista.
</t>
    </r>
  </si>
  <si>
    <t xml:space="preserve">Analisando-se as informações contidas no item 2.6.2.1.7 do Relatório 02, destinado à descrição das intervenções previstas no Sistema de Apoio às Operações, verifica-se que não foi previsto aumento da capacidade de tancagem do PAA, conforme necessidade apontada no item 1.5.7.1 do mesmo relatório.
No item 2.6.2.1.10 do Relatório 02, destinado à apresentação das intervenções previstas no Sistema de Infraestrutura Básica, na Fase I, verifica-se que não foi prevista intervenção para aumento da capacidade do sistema de climatização, conforme necessidade apontada no item 1.5.10 do mesmo relatório.
</t>
  </si>
  <si>
    <t xml:space="preserve">No anteprojeto para ampliação do TPS, a área prevista na planta para a fila de inspeção de segurança é inferior ao mínimo necessário, calculado na planilha de dimensionamento.
</t>
  </si>
  <si>
    <t xml:space="preserve">Em que pese os estudos tenham informado a realização de ensaios de sondagem em alguns pontos do sítio aeroportuário, não foram fornecidos os resultados do furo localizado na região da edificação do TPS.
</t>
  </si>
  <si>
    <t xml:space="preserve">Na descrição da infraestrutua do Terminal de Passageiros, item 1.2.2.1 do Relatório 02 - Estudos de Engenharia e Afins, verifica-se que, na Figura 1-69 (derivada do Anexo 1.9), as áreas administrativas das empresas aéreas são apresentadas como sendo áreas comerciais (legenda e áreas hachuradas na cor azul). Tratam-se de áreas com finalidades de uso distintas, sendo estas, do ponto de vista do futuro operador aeroportuário, operacionais e não comerciais.
</t>
  </si>
  <si>
    <t xml:space="preserve">Em relação aos equipamentos de grande porte do sistema de energia elétrica, verifica-se que não foram apresentadas quaisquer informações a respeito do estado de conservação e da vida útil dos 02 Transformadores existentes no aeroporto.
</t>
  </si>
  <si>
    <t xml:space="preserve">O estudo não apresentou o croqui com o mosaico de matrículas que compõem o sítio aeroportuário.
</t>
  </si>
  <si>
    <r>
      <t xml:space="preserve">O estudo não realizou a coleta de dados relacionados ao Tempo de Ocupação de Pista </t>
    </r>
    <r>
      <rPr>
        <i/>
        <sz val="11"/>
        <color theme="1"/>
        <rFont val="Times New Roman"/>
        <family val="1"/>
      </rPr>
      <t>in loco</t>
    </r>
    <r>
      <rPr>
        <sz val="11"/>
        <color theme="1"/>
        <rFont val="Times New Roman"/>
        <family val="1"/>
      </rPr>
      <t xml:space="preserve">, como preconiza a MCA 100-47. Esta variável foi estimada utilizando metodologia alternativa.
O estudo não traz considerações a respeito do possível impacto de operações de aeronaves de asa rotativa sobre a capacidade do sistema de pista.
</t>
    </r>
  </si>
  <si>
    <t xml:space="preserve">No item 2.6.2.1.4 do Relatório 02, destinado à apresentação das intervenções previstas no Sistema de Infraestrutura Aeronáutica, na Fase I, verifica-se que não foi prevista a realocação do PAPI instalado na cabeceira 07, em desacordo com o RBAC 154, conforme necessidade apontada no item 1.5.4 do mesmo relatório.
Analisando-se as informações contidas no item 2.6.2.1.7 do Relatório 02, destinado à descrição das intervenções previstas no Sistema de Apoio às Operações, verifica-se que não foi previsto aumento da capacidade de tancagem do PAA, conforme necessidade apontada no item 1.5.7.1 do mesmo relatório.
No item 2.6.2.1.10 do Relatório 02, destinado à apresentação das intervenções previstas no Sistema de Infraestrutura Básica, na Fase I, verifica-se que não foi prevista intervenção para aumento da capacidade do sistema de climatização, conforme necessidade apontada no item 1.5.10 do mesmo relatório.
</t>
  </si>
  <si>
    <t xml:space="preserve">Muito embora os estudos justifiquem em 2.7.4.1 a construção de novo TPS em virtude de restrições relativas às distâncias de segurança e às superfícies de proteção dos elementos do lado ar, como pista de pouso e pista de táxi, o novo TPS proposto pelo anteprojeto teria maior proximidade da pista em relação ao atual.
</t>
  </si>
  <si>
    <t xml:space="preserve">Há algumas composições analíticas de preços unitários (CAPU) sob incidência de BDI diverso do aplicado na planilhas de preço. Além disso, muito embora tenham sido aplicados os encargos trabalhistas sobre mão de obra horista com desoneração, a tabela de encargos sociais (ES) informa adoção de horista sem desoneração. 
</t>
  </si>
  <si>
    <r>
      <t xml:space="preserve">Na descrição da infraestrutua do Terminal de Passageiros, item 1.2.2.1 do Relatório 02 - </t>
    </r>
    <r>
      <rPr>
        <i/>
        <sz val="11"/>
        <color theme="1"/>
        <rFont val="Times New Roman"/>
        <family val="1"/>
      </rPr>
      <t>Estudos de Engenharia e Afins</t>
    </r>
    <r>
      <rPr>
        <sz val="11"/>
        <color theme="1"/>
        <rFont val="Times New Roman"/>
        <family val="1"/>
      </rPr>
      <t>, verifica-se que, na Figura 1-71 (derivada do Anexo 1.9), as áreas administrativas das empresas aéreas são apresentadas como sendo áreas comerciais (legenda e áreas hachuradas na cor azul). Tratam-se de áreas com finalidades de uso distintas, sendo estas, do ponto de vista do futuro operador aeroportuário, operacionais e não comerciais.</t>
    </r>
  </si>
  <si>
    <t xml:space="preserve">Em relação aos equipamentos de grande porte do sistema de energia elétrica, verifica-se que não foram apresentadas quaisquer informações a respeito do estado de conservação e da vida útil dos 08 Transformadores existentes no aeroporto.
</t>
  </si>
  <si>
    <t xml:space="preserve">O estudo não apresentou a matrícula atualizada da área do aeródromo.
</t>
  </si>
  <si>
    <r>
      <t xml:space="preserve">O estudo não realizou a coleta de dados relacionados ao Tempo de Ocupação de Pista </t>
    </r>
    <r>
      <rPr>
        <i/>
        <sz val="11"/>
        <color theme="1"/>
        <rFont val="Times New Roman"/>
        <family val="1"/>
      </rPr>
      <t>in loco</t>
    </r>
    <r>
      <rPr>
        <sz val="11"/>
        <color theme="1"/>
        <rFont val="Times New Roman"/>
        <family val="1"/>
      </rPr>
      <t xml:space="preserve">, como preconiza a MCA 100-47. Esta variável foi estimada utilizando metodologia alternativa.
Estudo não traz considerações a respeito do possível impacto de operações de aeronaves de asa rotativa sobre a capacidade do sistema de pista.
</t>
    </r>
  </si>
  <si>
    <t xml:space="preserve">No item 2.3.3.2 do Relatório 2, informa-se que, em decorrência do não atendimento aos requisitos estabelecidos no RBAC 154, EMD 06, deverá ser removido o ILS do aeroporto, em decorrência da localização do Glide Path (GP) do tipo End Fire dentro da faixa de pista, a uma distância inferior a 60m do eixo da pista. Apesar de informar a razão da retirada dos equipamentos, entende-se que outras opções para a adequação da infraestrutura aos requisitos normativos poderiam ser exploradas, como, por exemplo, a realocação do equipamento localizado na faixa de pista, mantendo-se disponível o recurso otimizado de radionavegação.
Analisando-se as informações contidas no item 2.6.2.1.5 do Relatório 02, destinado à descrição das intervenções previstas no Sistema de Aviação Geral, na Fase I, verifica-se que não fora previsto investimento para ampliação da capacidade dos Hangares e Pátios associados à Aviação Geral, conforme necessidade apontada no item 1.5.5.3 do mesmo relatório.
Por meio dos itens 2.6.2.1.6 e 2.6.2.2.6 do Relatório 02, descreve-se as intervenções previstas no Sistema de Administração e Manutenção. Analisando-se as informações apresentadas, verifica-se que não fora previsto investimento para aumento da capacidade das Instalações de Administração, conforme necessidade apontada no item 1.5.6.2 do mesmo relatório.
Nos itens 2.6.2.1.7 e 2.6.2.2.7 do Relatório 02, destinados à descrição das intervenções previstas no Sistema de Apoio às Operações, verifica-se que:
(i) não foi previsto aumento da capacidade de tancagem do PAA, conforme necessidade apontada no item 1.5.7.1 do mesmo relatório;
(ii) não foi previsto aumento de área de lote para adequação das instalações da SCI à categoria exigida, conforme necessidade apontada no item 1.5.7.2 do mesmo relatório.
No item 2.6.2.1.10 do Relatório 02, destinado à apresentação das intervenções previstas no Sistema de Infraestrutura Básica, na Fase I, verifica-se que não foi prevista intervenção para aumento da capacidade do sistema de climatização, conforme necessidade apontada no item 1.5.10 do mesmo relatório.
</t>
  </si>
  <si>
    <t xml:space="preserve">Muito embora os estudos contenham metodologia, estimativa e ilustrações do modelo de terraplenagem desenvolvido, não é possível rastrear os quantitativos dos serviços dele resultantes, uma vez que não foram fornecidos os arquivos do anteprojeto de terraplenagem e os demais projetos, dados e informações utilizadas para o dimensionamento. Além disso, algumas distâncias médias de transporte (DMT) utilizadas para a composição de preços de serviços de valores expressivos foram estimadas, sem a devida justificativa para os valores adotados.
</t>
  </si>
  <si>
    <t>Na descrição da infraestrutua do Terminal de Passageiros, item 1.2.2.1 do Relatório 02, Estudos de Engenharia e Afins, verifica-se que, na Figura 1-74 (derivada do Anexo 1.9), as áreas administrativas das empresas aéreas são apresentadas como sendo áreas comerciais (legenda e áreas hachuradas na cor azul). Tratam-se de áreas com finalidades de uso distintas, sendo estas, do ponto de vista do futuro operador aeroportuário, operacionais e não comerciais.
No mesmo item do Relatório, descreve-se, de forma equivocada, a imagem contida na Figura 1-80 como sendo a "Locadora de Veículos - TPS". No entanto, trata a imagem da representação da Sala de Embarque.</t>
  </si>
  <si>
    <t xml:space="preserve">Analisando-se as informações contidas no item 2.6.2.1.5 do Relatório 02, destinado à descrição das intervenções previstas no Sistema de Aviação Geral, na Fase I, verifica-se que não foi previsto investimento para ampliação da capacidade dos Hangares e Pátios associados à Aviação Geral, conforme necessidade apontada no item 1.5.5.3 do mesmo relatório.
Nos itens 2.6.2.1.7 e 2.6.2.2.7 do Relatório 02, destinados à descrição das intervenções previstas no Sistema de Apoio às Operações, verifica-se que:
(i) não foi previsto aumento da capacidade de tancagem do PAA, conforme necessidade apontada no item 1.5.7.1 do mesmo relatório;
(ii) não foi previsto aumento de área de lote para adequação das instalações da SCI à categoria exigida, conforme necessidade apontada no item 1.5.7.2 do mesmo relatório.
No item 2.6.2.1.10 do Relatório 02, destinado à apresentação das intervenções previstas no Sistema de Infraestrutura Básica, na Fase I, verifica-se que não foi prevista intervenção para aumento da capacidade do sistema de climatização, conforme necessidade apontada no item 1.5.10 do mesmo relatório.
</t>
  </si>
  <si>
    <t xml:space="preserve">O meio-fio em frente ao terminal se mostra subdimensionado no anteprojeto, para atender à demanda projetada, conforme dimensionado na planilha.
</t>
  </si>
  <si>
    <r>
      <t xml:space="preserve">Na descrição da infraestrutua do Terminal de Passageiros, item 1.2.2.1 do Relatório 02 - </t>
    </r>
    <r>
      <rPr>
        <i/>
        <sz val="11"/>
        <rFont val="Times New Roman"/>
        <family val="1"/>
      </rPr>
      <t>Estudos de Engenharia e Afins</t>
    </r>
    <r>
      <rPr>
        <sz val="11"/>
        <rFont val="Times New Roman"/>
        <family val="1"/>
      </rPr>
      <t xml:space="preserve">, verifica-se que, na Figura 1-70 (derivada do Anexo 1.9), as áreas administrativas das empresas aéreas são apresentadas como sendo áreas comerciais (legenda e áreas hachuradas na cor azul). Tratam-se de áreas com finalidades de uso distintas, sendo estas, do ponto de vista do futuro operador aeroportuário, operacionais e não comerciais.
No mesmo item do Relatório, descreve-se, de forma equivocada, a imagem contida na Figura 1-73 como sendo a "Área de Embarque Doméstico". No entanto, trata a imagem da representação da Área de Inspeção de Segurança Doméstica.
No item 1.2.8.1 do mesmo Relatório, no texto em que se descreve a localização das áreas administrativas das empresas aéreas, informa-se que a representação dessas áreas está na Figura 1-132, quando, na realidade, está na Figura 1-131.
</t>
    </r>
  </si>
  <si>
    <t xml:space="preserve">Das 02 esteiras de restituição de bagagens existentes na Sala de Desembarque, verifica-se que apenas 01 é efetivamente avaliada quanto ao estado de conservação e à vida útil, conforme prevê o Edital. Não foram localizadas, no Anexo 3, informações a respeito da outra esteira de restituição de bagagens.
Em relação aos equipamentos de grande porte do sistema de energia elétrica, verifica-se que não foram apresentadas quaisquer informações a respeito do estado de conservação e da vida útil dos 08 Transformadores existentes no aeroporto.
</t>
  </si>
  <si>
    <t xml:space="preserve">SBSN atualmente não processa operações de aproximação por instrumentos do tipo Precisão. O sistema ILS encontra-se inoperante no aeroporto e as cartas de aproximação foram revogadas . Também não foram localizados processos de homologação deste sistema em tramitação junto à Anac.
</t>
  </si>
  <si>
    <t xml:space="preserve">A lista de não-conformidades menciona ausência de ALS, mas esse auxílio não é obrigatório para operações do tipo NPA. SBSN não processa operações de aproximação do tipo CAT-1.
</t>
  </si>
  <si>
    <r>
      <t xml:space="preserve">O estudo não realizou a coleta de dados relacionados ao Tempo de Ocupação de Pista </t>
    </r>
    <r>
      <rPr>
        <i/>
        <sz val="11"/>
        <rFont val="Times New Roman"/>
        <family val="1"/>
      </rPr>
      <t>in loco</t>
    </r>
    <r>
      <rPr>
        <sz val="11"/>
        <rFont val="Times New Roman"/>
        <family val="1"/>
      </rPr>
      <t xml:space="preserve">, como preconiza a MCA 100-47. Esta variável foi estimada utilizando metodologia alternativa.
O estudo não traz considerações a respeito do possível impacto de operações de aeronaves de asa rotativa sobre a capacidade do sistema de pista.
</t>
    </r>
  </si>
  <si>
    <t xml:space="preserve">Por meio dos itens 2.6.2.1.6 e 2.6.2.2.6 do Relatório 02, descreve-se as intervenções previstas no Sistema de Administração e Manutenção. Analisando-se as informações apresentadas, verifica-se que não fora previsto investimento para aumento da capacidade das Instalações de Administração, conforme necessidade apontada no item 1.5.6.2 do mesmo relatório.
Analisando-se as informações contidas nos itens 2.6.2.1.7 e 2.6.2.2.7 do Relatório 02, destinado à descrição das intervenções previstas no Sistema de Apoio às Operações, verifica-se que:
(i) não foi previsto aumento da capacidade de tancagem do PAA, conforme necessidade apontada no item 1.5.7.1 do mesmo relatório;
(ii) não foi previsto aumento de área de lote para adequação das instalações da SCI à categoria exigida, conforme necessidade apontada no item 1.5.7.2 do mesmo relatório.
No item 2.6.2.1.10 do Relatório 02, destinado à apresentação das intervenções previstas no Sistema de Infraestrutura Básica, na Fase I, verfica-se que não fora prevista intervenção para aumento da capacidade do sistema de climatização, conforme necessidade apontada no item 1.5.10 do mesmo relatório.
</t>
  </si>
  <si>
    <t xml:space="preserve">Pelo anteprojeto apresentado, o novo TPS é construído com apenas um nível operacional, sendo prevista ampliação com nova sala de embarque em um segundo nível e adição de pontes de embarque numa segunda fase, pelo crescimento da demanda e mudança de categoria do aeroporto. Até aquele ponto, a sala de embarque no pavimento térreo (que passará a partir dali a operar só como remota), é a única do terminal e, pela projeção de demanda, não atenderia ao nível de serviço estabelecido por todo o período até a entrada em funcionamento da nova sala de embarque no nível superior, necessitando de uma ampliação em algum momento anterior, a qual não foi prevista no dimensionamento. Além disso, o meio-fio está subdimensionado no anteprojeto, em relação ao dimensionamento realizado.
</t>
  </si>
  <si>
    <t xml:space="preserve">Há algumas composições analíticas de preços unitários (CAPU) sob incidência de BDI diverso do aplicado na planilhas de preço. Além disso, muito embora tenham sido aplicados os encargos trabalhistas sobre mão de obra horista com desoneração, a tabela de encargos sociais (ES) informa adoção de horista sem desoneração. Adicionalmente, os elevadores e as escadas rolantes do TPS não foram contabilizados.  Foi utilizado, ainda, processo referencial incompatível com a especificidade ou o porte do TPS proposto no anteprojeto.
</t>
  </si>
  <si>
    <r>
      <t xml:space="preserve">Na apresentação da infraestrutura dos Pátios de Aeronaves, item 1.2.1.3 do Relatório 02 - </t>
    </r>
    <r>
      <rPr>
        <i/>
        <sz val="11"/>
        <rFont val="Times New Roman"/>
        <family val="1"/>
      </rPr>
      <t>Estudo de Engehnaria e Afins</t>
    </r>
    <r>
      <rPr>
        <sz val="11"/>
        <rFont val="Times New Roman"/>
        <family val="1"/>
      </rPr>
      <t xml:space="preserve">, descreve-se, na Figura 1-62, o Pátio da Aviação Comercial como sendo o de número 01 e o da Aviação Geral sem designação. No entanto, conforme se verifica na Carta PDC do aeroporto, Figura 1-63 do mesmo Relatório, o pátio designado para a Aviação Geral é o 01 e o da Aviação Comercial o 02.
Na descrição da infraestrutua do Terminal de Passageiros, item 1.2.2.1 do Relatório 02 - </t>
    </r>
    <r>
      <rPr>
        <i/>
        <sz val="11"/>
        <rFont val="Times New Roman"/>
        <family val="1"/>
      </rPr>
      <t>Estudos de Engenharia e Afins</t>
    </r>
    <r>
      <rPr>
        <sz val="11"/>
        <rFont val="Times New Roman"/>
        <family val="1"/>
      </rPr>
      <t xml:space="preserve">, verifica-se que, na Figura 1-79 (derivada do Anexo 1.9), as áreas administrativas das empresas aéreas são apresentadas como sendo áreas comerciais (legenda e áreas hachuradas na cor azul). Nas áreas hachuradas, verifica-se que existem, de fato, áreas comerciais de empresas aéreas, no entanto, confunde-se as comerciais com as operacionais, que ficam atrás do </t>
    </r>
    <r>
      <rPr>
        <i/>
        <sz val="11"/>
        <rFont val="Times New Roman"/>
        <family val="1"/>
      </rPr>
      <t>check-in</t>
    </r>
    <r>
      <rPr>
        <sz val="11"/>
        <rFont val="Times New Roman"/>
        <family val="1"/>
      </rPr>
      <t xml:space="preserve">, em área restrita ao público em geral. Tratam-se de áreas com finalidades de uso distintas, sendo estas, do ponto de vista do futuro operador aeroportuário, operacionais e não comerciais.
Na apresentação da infraestrutua dos Hangares, item 1.2.5.3 do Relatório 02 - </t>
    </r>
    <r>
      <rPr>
        <i/>
        <sz val="11"/>
        <rFont val="Times New Roman"/>
        <family val="1"/>
      </rPr>
      <t>Estudos de Engenharia e Afins</t>
    </r>
    <r>
      <rPr>
        <sz val="11"/>
        <rFont val="Times New Roman"/>
        <family val="1"/>
      </rPr>
      <t xml:space="preserve">, no texto introdutório para a Tabela 1-77 e Figuras 1-143 e 1-144 (pag. 165), menciona-se, de forma equivocada, o aeroporto de Marabá, ao invés do aeroporto de Macapá.
</t>
    </r>
  </si>
  <si>
    <r>
      <t xml:space="preserve">O estudo não realizou a coleta de de dados relacionados ao Tempo de Ocupação de Pista </t>
    </r>
    <r>
      <rPr>
        <i/>
        <sz val="11"/>
        <rFont val="Times New Roman"/>
        <family val="1"/>
      </rPr>
      <t>in loco</t>
    </r>
    <r>
      <rPr>
        <sz val="11"/>
        <rFont val="Times New Roman"/>
        <family val="1"/>
      </rPr>
      <t xml:space="preserve">, como preconiza a MCA 100-47. Esta variável foi estimada utilizando metodologia alternativa.
O estudo não traz considerações a respeito do possível impacto de operações de aeronaves de asa rotativa sobre a capacidade do sistema de pista.
</t>
    </r>
  </si>
  <si>
    <r>
      <t xml:space="preserve">No item 1.5.3, Sistema Terminal de Cargas, do Relatório 02 - </t>
    </r>
    <r>
      <rPr>
        <i/>
        <sz val="11"/>
        <rFont val="Times New Roman"/>
        <family val="1"/>
      </rPr>
      <t>Estudos de Engenharia e Afins</t>
    </r>
    <r>
      <rPr>
        <sz val="11"/>
        <rFont val="Times New Roman"/>
        <family val="1"/>
      </rPr>
      <t xml:space="preserve">, apresenta-se a avaliação dos componentes que integram o sistema do Terminal de Cargas (TECA) do aeroporto em estudo. Da análise, verifica-se que não foram apresentadas informações a respeito da avaliação da capacidade das Vias de Acesso ao TECA, restando incompleta, portanto, a análise desse sistema.
No Relatório 02, item 1.5.8, Sistema de Apoio às Empresas Aéreas, apresenta-se a avaliação dos componentes que integram o Sistema de Apoio às Empresas Aéreas do aeroporto em estudo. Da análise, verifica-se que não foram apresentadas informações a respeito da avaliação da capacidade das Instalações de Administração, restando incompleta, portanto, a análise desse sistema.
No Relatório 02, item 1.5.10.6, apresenta-se a avaliação da capacidade do Sistema de Climatização do aeroporto. Da análise, verifica-se que não foi apresentada a memória de cálculo da capacidade de climatização oferecida pelo sistema, nem informada a metodologia que embasou a avaliação, de modo que seja possível concluir se, de fato, a demanda será suprida pela capacidade instalada.
No Relatório 02, item 1.5.10, Sistema de Infraestrutura Básica, apresenta-se a avaliação dos sub-sistemas que integram o Sistema de Infraestrurtura Básica do aeroporto em estudo. Da análise, verifica-se que não foram apresentadas informações a respeito da avaliação da capacidade do sub-sistema de Drenagem do aeroporto, restando incompleta, portanto, a análise desse sistema.
</t>
    </r>
  </si>
  <si>
    <t xml:space="preserve">Analisando-se as informações contidas nos itens 2.6.2.1.7 e 2.6.2.2.7 do Relatório 02, destinado à descrição das intervenções previstas no Sistema de Apoio às Operações, verifica-se que:
(i) não foi previsto aumento da capacidade de tancagem, conforme necessidade apontada no item 1.5.7.1 do mesmo relatório;
(ii) não foi previsto aumento de área de lote para adequação das instalações da SCI à categoria exigida, conforme necessidade apontada no item 1.5.7.2 do mesmo relatório.
</t>
  </si>
  <si>
    <t xml:space="preserve">Muito embora os estudos contenham metodologia, estimativa e ilustraçoes do modelo de terraplenagem desenvolvido, não é possível rastrear os quantitativos dos serviços dele resultantes, uma vez que não foram fornecidos os arquivos do anteprojeto de terraplenagem e os demais projetos, dados e informações utilizadas para o dimensionamento. 
</t>
  </si>
  <si>
    <r>
      <t xml:space="preserve">Na descrição da infraestrutua do Terminal de Passageiros (item 1.2.2.1 do Relatório 02 - </t>
    </r>
    <r>
      <rPr>
        <i/>
        <sz val="11"/>
        <color theme="1"/>
        <rFont val="Times New Roman"/>
        <family val="1"/>
      </rPr>
      <t>Estudos de Engenharia e Afins</t>
    </r>
    <r>
      <rPr>
        <sz val="11"/>
        <color theme="1"/>
        <rFont val="Times New Roman"/>
        <family val="1"/>
      </rPr>
      <t xml:space="preserve">), verifica-se que, na Figura 1-60 (derivada do Anexo 1.9), as áreas administrativas das empresas aéreas são apresentadas como sendo áreas comerciais (legenda e áreas hachuradas na cor azul). Tratam-se de áreas com finalidades de uso distintas, sendo estas, do ponto de vista do futuro operador aeroportuário, operacionais e não comerciais.
</t>
    </r>
  </si>
  <si>
    <t xml:space="preserve">Não apresenta informações a respeito do estado de consevação e da vida útil da única esteira de restituição de bagagens existente na Sala de Desembarque.
Em relação aos equipamentos de grande porte do sistema de energia elétrica, verifica-se que não foram apresentadas quaisquer informações a respeito do estado de conservação e da vida útil do Transformador e dos 02 Grupos Moto-Geradores.
</t>
  </si>
  <si>
    <t xml:space="preserve">O estudo não abordou a área cedida à Prefeitura Municipal de Uberaba.
</t>
  </si>
  <si>
    <t xml:space="preserve">A Figura 1-202 identifica erroneamente a faixa de pista com 150 m, em vez de 140 m (RBAC 154.217). Não resta comprovado que as aeronaves  em posição de estacionamento violam a área de segurança.
</t>
  </si>
  <si>
    <r>
      <t xml:space="preserve">Não realizou a coleta de de dados relacionados ao Tempo de Ocupação de Pista </t>
    </r>
    <r>
      <rPr>
        <i/>
        <sz val="11"/>
        <color theme="1"/>
        <rFont val="Times New Roman"/>
        <family val="1"/>
      </rPr>
      <t>in loco</t>
    </r>
    <r>
      <rPr>
        <sz val="11"/>
        <color theme="1"/>
        <rFont val="Times New Roman"/>
        <family val="1"/>
      </rPr>
      <t xml:space="preserve">, como preconiza a MCA 100-47. Esta variável foi estimada utilizando metodologia alternativa.
O estudo não traz considerações a respeito do possível impacto de operações de aeronaves de asa rotativa sobre a capacidade do sistema de pista.
</t>
    </r>
  </si>
  <si>
    <t xml:space="preserve">Analisando-se as informações contidas no item 2.6.2.1.7 do Relatório 02, destinado à descrição das intervenções previstas no Sistema de Apoio às Operações, na Fase I, verifica-se que não fora previsto aumento da capacidade de tancagem do PAA, conforme necessidade apontada no item 1.5.7.1 do mesmo relatório.
No item 2.6.2.1.10 do Relatório 02, destinado à apresentação das intervenções previstas no Sistema de Infraestrutura Básica, na Fase I, verifica-se que não fica clara a intervenção prevista no sistema de climatização, conforme apontada no item 1.5.10 do mesmo relatório, identificando-se, tão somente, menção à metragem de área prevista para instalação de um sistema redundante.
</t>
  </si>
  <si>
    <r>
      <t xml:space="preserve">O </t>
    </r>
    <r>
      <rPr>
        <i/>
        <sz val="11"/>
        <color theme="1"/>
        <rFont val="Times New Roman"/>
        <family val="1"/>
      </rPr>
      <t xml:space="preserve">layout </t>
    </r>
    <r>
      <rPr>
        <sz val="11"/>
        <color theme="1"/>
        <rFont val="Times New Roman"/>
        <family val="1"/>
      </rPr>
      <t xml:space="preserve">proposto para a sala de desembarque, com duas esteiras de restituição, mesmo considerando a aplicação do critério de dimensionamento para aeroportos categoria I-B, não se mostrou a solução mais adequada, tendo em vista que uma esteira única mais alongada atenderia ao critério da 30ª hora, que vige na fase II do contrato.
</t>
    </r>
  </si>
  <si>
    <r>
      <t>Seção I - Presença constante de imagens de baixa qualidade, por vezes impossibilitando a captura da informação.
Seção I - Premissas assumidas para formulação da Região de Influência de aviação geral com poucas referências técnicas.
RI de Importação e Exportação:  O estudo considera, para formulação da RI de cargas importadas e exportadas, todas as importações/exportações de SBGL, independentemente da origem/destino internacional da carga. Uma vez que restrições de infraestrutura (pista) limitam determinadas categorias de aeronave, entende-se pertinente considerar tal questão, apurando para cargas originadas/destinadas para aquelas localidades onde se previu atendimento a partir de SBRJ.
Em que pese a afirmação "</t>
    </r>
    <r>
      <rPr>
        <i/>
        <sz val="11"/>
        <color theme="1"/>
        <rFont val="Times New Roman"/>
        <family val="1"/>
      </rPr>
      <t>Diante do exposto acima, vê-se que a RI para a carga de importação aérea engloba fundamentalmente o estado do Rio de Janeiro, dado que as demais UFs tem pouca relevância em SBGL e/ou este aeroporto representa parcela menor de suas importações.</t>
    </r>
    <r>
      <rPr>
        <sz val="11"/>
        <color theme="1"/>
        <rFont val="Times New Roman"/>
        <family val="1"/>
      </rPr>
      <t xml:space="preserve">", os dados parecem indicar relevância de SBGL nas cargas importadas de MA e RO.
</t>
    </r>
  </si>
  <si>
    <r>
      <t>Em relação aos efeitos da restrição à ciculação populacional, os estudos trazem as seguintes afirmações: "</t>
    </r>
    <r>
      <rPr>
        <i/>
        <sz val="11"/>
        <color theme="1"/>
        <rFont val="Times New Roman"/>
        <family val="1"/>
      </rPr>
      <t>Considera-se recuperação gradual da circulação, ainda com restrições parciais durante 2021. Após esse período, a perspectiva é de flexibilização da maior parte das medidas restritivas, possibilitando a retomada do tráfego doméstico de forma sustentada</t>
    </r>
    <r>
      <rPr>
        <sz val="11"/>
        <color theme="1"/>
        <rFont val="Times New Roman"/>
        <family val="1"/>
      </rPr>
      <t>" e "</t>
    </r>
    <r>
      <rPr>
        <i/>
        <sz val="11"/>
        <color theme="1"/>
        <rFont val="Times New Roman"/>
        <family val="1"/>
      </rPr>
      <t>Considerando o horizonte da concessão, tem-se que os efeitos da restrição à circulação populacional sobre o tráfego aéreo doméstico brasileiro deixariam de ser sentidos já no início de 2022, o que não afetaria a demanda no período em destaque da concessão</t>
    </r>
    <r>
      <rPr>
        <sz val="11"/>
        <color theme="1"/>
        <rFont val="Times New Roman"/>
        <family val="1"/>
      </rPr>
      <t xml:space="preserve">".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trimestre), pois alguns indicam tendência reversa, ou perda de força na recuperação, de forma a qualificar a análise. 
As análises de Aviação Geral são basicamente a nível nacional, sem detalhar as características do segmento de cada aeroporto.
As variações sazonais foram trabalhadas de forma simplificada.
O estudo tende a conduzir diversas análises exclusivamente sob a ótica da demanda, sem observar que determinados </t>
    </r>
    <r>
      <rPr>
        <i/>
        <sz val="11"/>
        <color theme="1"/>
        <rFont val="Times New Roman"/>
        <family val="1"/>
      </rPr>
      <t xml:space="preserve">drivers </t>
    </r>
    <r>
      <rPr>
        <sz val="11"/>
        <color theme="1"/>
        <rFont val="Times New Roman"/>
        <family val="1"/>
      </rPr>
      <t>se devem à oferta. Algumas observações do relatório indicam esta percepção, como: “</t>
    </r>
    <r>
      <rPr>
        <i/>
        <sz val="11"/>
        <color theme="1"/>
        <rFont val="Times New Roman"/>
        <family val="1"/>
      </rPr>
      <t>Conforme observado na Figura 2-6, houve crescimento na quantidade de passageiros por movimento comercial (regular e não regular), o que foi possível pelo uso de aviões maiores nas rotas operadas em SBRJ. Tal comportamento está alinhado à tendência observada de modernização da frota utilizada pelas companhias aéreas no Brasil e no mundo, conforme trata o capítulo 8</t>
    </r>
    <r>
      <rPr>
        <sz val="11"/>
        <color theme="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O relatório poderia ter fornecido o dado de conexão internacional dividindo o </t>
    </r>
    <r>
      <rPr>
        <i/>
        <sz val="11"/>
        <color theme="1"/>
        <rFont val="Times New Roman"/>
        <family val="1"/>
      </rPr>
      <t xml:space="preserve">share </t>
    </r>
    <r>
      <rPr>
        <sz val="11"/>
        <color theme="1"/>
        <rFont val="Times New Roman"/>
        <family val="1"/>
      </rPr>
      <t xml:space="preserve">com o Galeão e opções de fora da RI.
</t>
    </r>
  </si>
  <si>
    <t xml:space="preserve">Fator "Pontualidade" utiliza como indicadores os voos atrasados e os voos pontuais, obtidos por meio do VRA. No entanto, não especifica qual o conceito de atraso utilizado para a quantificação de voos.
Na medida em que a competição intermodal considera no modelo as variáveis tempo e custos de deslocamento, em função dos custos com combustível e pedágio, conclui-se que o estudo analisa a competição intermodal apenas com transporte particular. O modelo não parece refletir competição intermodal com outros meios de transporte. 
Não especificou a fonte e a metodologia para estabelecimento dos preços médios de combustível por estado, utilizado na variável independente "gasto com combustível" no cálculo do custo de transporte não aéreo (competição intermodal).
Regressão logística da Análise de Competição Intermodal considera as viagens aéreas e não aéreas a partir de 400 Km (seção 6.4.1), classificadas como potenciais para se transformar em aéreas. No entanto, não há referências para o estabelecimento deste parâmetro de distância.
Ao mencionar que o crescimento da demanda não aérea é projetado por meio de uma regressão linear entre o índice ABCR e o PIB brasileiro, a forma funcional do modelo não é apresentada.
Sobre a consideração da competição intramodal nos fluxos do aeroporto, verifica-se que há uma diferenciação da metodologia adotada para os perfis de passageiros doméstico e internacional, a qual não é justificada ao longo do Relatório.
Na análise de competição intermodal de cargas internacionais, o Consórcio afirma que os fluxos de importação e exportação de cargas em SBGL (aeroporto utilizado como base de comparação) representaram apenas 5,9% da movimentação total dos Portos do Rio de Janeiro e Itaguaí em 2019, o que não seria suficiente para gerar pressão competitiva entre os referidos modais. Entretanto, o estudo não apresenta qual foi o critério adotado para afirmar que essa participação de 5,9% não terá impacto sobre a futura movimentação de cargas internacionais no aeroporto. A apresentação do critério utilizado é necessária para dar embasamento técnico aos resultados apresentados, mesmo que, no caso de SBRJ, a movimentação de cargas não seja a vocação prevista para o aeroporto.
</t>
  </si>
  <si>
    <t xml:space="preserve">Metodologia de desenvolvimento do modelo de negócios de serviços aéreos (especialmente novas rotas) estuda apenas pela ótica da demanda, não considerando o da oferta. Estabelecer gatilhos com base na opção do passageiro (calculado em 72%, com base no estudo de dados a nível Brasil) para transformar rotas indiretas em novas rotas diretas no aeroporto ignora as estratégias de malha dos ofertantes (empresas aéreas). Não há também avaliação da factibilidade deste desenvolvimento na prática, já que muitos dos aeroportos avaliados criam muitas rotas diretas antes mesmo do início da concessão (2023). Não há uma avaliação do ponto de vista do estoque de aeronaves e tripulantes disponíveis. Fatores que poderiam ser ajustados no médio ou longo prazo, mas dificilmente possuem capacidade para acompanhar tal ritmo no curto prazo. Desta forma, considerando a metodologia sob a ótica do conjunto de aeroportos, infere-se que a malha aérea brasileira caminharia no sentido de ligações ponto a ponto, perdendo aos poucos as características de hub-and-spoke. Contudo, entende-se que o desenvolvimento da malha aérea estaria mais ligado às estratégias comerciais das companhias aéreas em rede (que podem passar, em certa medida, por negociações com os operadores aeroportuários) do que centrar-se no comportamento da demanda de cada aeroporto individualmente.
</t>
  </si>
  <si>
    <r>
      <t xml:space="preserve">Seção 8.3 - Definição dos gatilhos para criação de rotas diretas e retomada das rotas existentes antes da pandemia. Metodologia para criação de novas rotas domésticas (8.3.1) e internacionais (8.3.2) utiliza como um dos parâmetros voos por semana por classe de aeronave. Não há qualquer referência que suporte o estabelecimento de tais parâmetros.
Seção 10.5.3.2 - Não justifica a escolha das faixas de PMD de permanência representativa do aeroporto, e essa escolha nem sempre reflete a faixa de maior </t>
    </r>
    <r>
      <rPr>
        <i/>
        <sz val="11"/>
        <color theme="1"/>
        <rFont val="Times New Roman"/>
        <family val="1"/>
      </rPr>
      <t xml:space="preserve">share </t>
    </r>
    <r>
      <rPr>
        <sz val="11"/>
        <color theme="1"/>
        <rFont val="Times New Roman"/>
        <family val="1"/>
      </rPr>
      <t xml:space="preserve">do aeroporto.
Seção 11.5 - Erro nas fórmulas de cálculo do número de vagas. O componente "Pax/veic" deveria ser "Veic/pax". Vale para curta e longa estadia.
Utilizam, para o critério de novas rotas para aeródromos da mesma UF, o nível de 24 movimentos anuais em 2019, sem justificar tecnicamente a escolha deste parâmetro.
</t>
    </r>
    <r>
      <rPr>
        <i/>
        <sz val="11"/>
        <color theme="1"/>
        <rFont val="Times New Roman"/>
        <family val="1"/>
      </rPr>
      <t xml:space="preserve">Market share </t>
    </r>
    <r>
      <rPr>
        <sz val="11"/>
        <color theme="1"/>
        <rFont val="Times New Roman"/>
        <family val="1"/>
      </rPr>
      <t xml:space="preserve">internacional de SBRJ apresentado no gráfico 7-25 (em torno de 4,65%) não condiz com os valores obtidos de </t>
    </r>
    <r>
      <rPr>
        <i/>
        <sz val="11"/>
        <color theme="1"/>
        <rFont val="Times New Roman"/>
        <family val="1"/>
      </rPr>
      <t xml:space="preserve">market share </t>
    </r>
    <r>
      <rPr>
        <sz val="11"/>
        <color theme="1"/>
        <rFont val="Times New Roman"/>
        <family val="1"/>
      </rPr>
      <t>da RI em relação ao Brasil (20%) e do market share de SBRJ em relação à RI (42%).
Resultados apresentados no Gráfico 7-28 (passageiros internacionais - embarque e desembarque) não condiz com os valores apresentados no Gráfico 7-26 (passageiros internacionais - agregado).
Figura 7-30 não apresentou a equação de ajuste da curva.
Seção 9.3.1 - Para parametrização do modelo de projeção de cargas de importação/exportação, assumiu-se a seguinte premissa: "</t>
    </r>
    <r>
      <rPr>
        <i/>
        <sz val="11"/>
        <color theme="1"/>
        <rFont val="Times New Roman"/>
        <family val="1"/>
      </rPr>
      <t>Para a definição do modelo de projeção de cargas de importação optou-se por utilizar modelos de série temporal do tipo ARIMA, (explicados no item 6.2.1.2), com base no histórico do Aeroporto do Galeão, apresentado no item 9.1.1.</t>
    </r>
    <r>
      <rPr>
        <sz val="11"/>
        <color theme="1"/>
        <rFont val="Times New Roman"/>
        <family val="1"/>
      </rPr>
      <t xml:space="preserve">". No entanto, o Galeão movimentou cargas de importação/exportação provenientes de origens/destinos que não serão atendidos por SBRJ. Desta forma, infere-se que pode haver viés no indicador.
Na projeção dos parâmetros utilizados para o cálculo da receita de permanência no segmento de AVG, o Consórcio aplica metodologias distintas para estimar o percentual de aeronaves pagantes no perfil doméstico e internacional e não apresenta premissa que justificaria essa diferenciação, haja vista ser mesmo parâmetro que está sendo calculado de modos distintos a depender de sua natureza. Enquanto o percentual de aeronaves pagantes domésticas é calculado por meio do modelo ARIMA de séries temporais, para as aeronaves internacionais optou-se pela manutenção do percentual observado no ano de 2019.
Seção 7.4 - Gráfico da 'Curva de taxa de conexão em função do número de rotas' não apresentou a equação de ajuste da curva.
Informa que a projeção do </t>
    </r>
    <r>
      <rPr>
        <i/>
        <sz val="11"/>
        <color theme="1"/>
        <rFont val="Times New Roman"/>
        <family val="1"/>
      </rPr>
      <t xml:space="preserve">load factor </t>
    </r>
    <r>
      <rPr>
        <sz val="11"/>
        <color theme="1"/>
        <rFont val="Times New Roman"/>
        <family val="1"/>
      </rPr>
      <t xml:space="preserve">estaria limitada ao valor projetado nos EUA para o ano de 2040 (86,9%). No entanto, os valores projetados nos gráficos </t>
    </r>
    <r>
      <rPr>
        <i/>
        <sz val="11"/>
        <color theme="1"/>
        <rFont val="Times New Roman"/>
        <family val="1"/>
      </rPr>
      <t xml:space="preserve">Load factor </t>
    </r>
    <r>
      <rPr>
        <sz val="11"/>
        <color theme="1"/>
        <rFont val="Times New Roman"/>
        <family val="1"/>
      </rPr>
      <t xml:space="preserve">médio doméstico por classe de envergadura e velocidade de aproximação e </t>
    </r>
    <r>
      <rPr>
        <i/>
        <sz val="11"/>
        <color theme="1"/>
        <rFont val="Times New Roman"/>
        <family val="1"/>
      </rPr>
      <t xml:space="preserve">Load factor </t>
    </r>
    <r>
      <rPr>
        <sz val="11"/>
        <color theme="1"/>
        <rFont val="Times New Roman"/>
        <family val="1"/>
      </rPr>
      <t xml:space="preserve">médio internacional por classe de envergadura e velocidade de aproximação não obedecem a tal patamar.
A afirmação de que o movimento de carga aérea doméstica no aeroporto acompanha o movimento de aeronaves comerciais de passageiros (para justificar a adoção do parâmetro de kg/movimentos) poderia ser ilustrada por meio de gráfico contendo as duas séries históricas (eixo principal e secundário).
</t>
    </r>
  </si>
  <si>
    <r>
      <t>Seção 7.2.2.1 - Tabela 7-13: Perfil de antecedência de compra de passagens considerado para o Aeroporto. Tal tabela se refere ao perfil da RI e não do Aeroporto.
Seção 7.2.3.2 - "O passo seguinte da metodologia consiste em dividir a demanda da RI entre os aeroportos competidores. A partir do modelo de competição intramodal detalhado no item 6.4.2, projeta-se as utilidades dos aeroportos para obter o market share do aeroporto". No entanto, a seção não fornece o market share do aeroporto na RI. Apenas os passageiros ganhos/perdidos em função da competição intramodal.
Ajuste de passageiros domésticos em função de novas rotas internacionais não detalha a metodologia para se chegar ao resultado.
Na metodologia de projeção de tempo de permanência (manobra/estadia) de aeronaves internacionais para os Aeroportos de Santos Dumont e Congonhas, informam que não há parâmetros históricos, uma vez que os aeroportos não operam voos internacionais. Assim optam por adotar parâmetros iguais aos utilizados para os domésticos, justificando que preveem que as categorias das aeronaves a serem utilizadas nas novas rotas internacionais seriam as mesmas das domésticas. No entanto, entende-se que o driver de tempo de permanência de aeronaves estaria mais associado às características operacionais e estratégicas da natureza internacional do que à categoria de aeronave utilizada.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rFont val="Times New Roman"/>
        <family val="1"/>
      </rPr>
      <t>Caso identifique-se alguma restrição faz-se necessário quantificar o impacto para então recalcular os parâmetros de demanda apresentados anteriormente (demanda de passageiros, movimentos, carga e demandas de pico)</t>
    </r>
    <r>
      <rPr>
        <sz val="11"/>
        <rFont val="Times New Roman"/>
        <family val="1"/>
      </rPr>
      <t xml:space="preserve">".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 No entanto, considera-se essa informação insuficiente. Por outro lado, os relatórios trazem, como padrão, a tabela 7-1: Variáveis independentes testadas para projeção de tráfego de passageiros. No entanto, cita-se o caso de SBRJ, que mostra que o modelo adotado traz uma variável não listada na tabela. Portanto, não se pode verificar quais, de fato, foram todas as variáveis utilizadas.
Os gráficos 8-21 (Mix de aeronaves por classe de velocidade de cruzamento de cabeceira - doméstico) e 8-23 (Mix de aeronaves por classe de faixa de envergadura - doméstico) trazem valores diferentes.
A metodologia desenvolvida para criação de rotas internacionais guarda pontos de incompatibilidade com outras afirmações do próprio relatório ou de outros relatórios. Sobre isto, reproduz-se passagem da seção 4.2.1 (competição intramodal): "Conforme apresentado em diversos estudos setoriais74,75, uma série de fatores influenciam a escolha do aeroporto a ser utilizado por cada passageiro, tais como: o custo das tarifas aéreas, a frequência de voos, a facilidade de acesso terrestre e a motivação da viagem (visitas, lazer, negócios etc.), entre outros. Portanto, para verificar se aeroportos competem entre si não se deve observar apenas distâncias e tempos de transporte terrestre, mas também outros fatores e preferências dos passageiros76". Em seguida, na seção 4.2.1.1 afirmam: "Para os passageiros internacionais considera-se que a competição intramodal ocorre entre todos os aeroportos internacionais do Brasil, posto que a dinâmica de hub desses aeroportos permite que passageiros realizem conexões doméstico-internacionais e, portanto, capturem demanda de todo território nacionais e não apenas das localidades próximas." No caso específico da escolha do passageiro por um rota direta, caso fosse oferecida, afirma-se que "nem todos migrariam para uma rota direta caso fosse oferecida, uma vez que a escolha do passageiro envolve questões como frequência, preço, fidelidade com companhias aéreas, etc.". Em que pese o exposto, para a projeção de passageiros internacionais em rota direta, afirma que "Devido à proximidade terrestre com o Aeroporto do Galeão (aeroporto bem servido de rotas e elevada frequência de voos interacionais), os passageiros internacionais de SBRJ ou pegam um voo internacional diretamente no aeroporto ou optam por embarcar diretamente em SBGL, inviabilizando a utilização da conexão doméstica internacional." Entende-se, desta forma, que foram ignorados os demais fatores anteirormente expostos, que poderiam fazer o passageiro continuar optando por uma conexão internacional em outros importantes HUBs internacionais do país.
Seção 7.4 - Não explicita a taxa de conexão do aeroporto resultante da metodologia apresentada. 
</t>
    </r>
  </si>
  <si>
    <t xml:space="preserve">O Relatório recorre constantemente e excessivamente à consideração de que indicadores calculados pelos dados de 2019 seriam constantes para todo o horizonte da concessão (30 anos).
Argumentação insuficiente para prever que não haverá movimentos cargueiros no futuro: pela não observação de tal tipo de movimentos na série histórica e nem de condições que façam supor mudança neste cenário.
Tabela 9-5: Percentual de redução de tempo de operação referente a cada tipo de melhoria implementada. Não há embasamento para suportar a divisão percentual do tempo total previsto de redução entre os processos de implantação do Duimp e do Aumento de operadores OEA.
A Região de Influência desenhada para o Aeroporto Santos Dumont engloba diversos outros aeroportos da região: SBGL, SBRJ, SBZM, SBCB, SBCP e SBME. Vê-se a heterogeneidade da região de influência, tanto no aspecto social, como econômico. O modelo escolhido para projetar passageiros domésticos na RI considera as variáveis explicativas: PIB BR, Tarifas no Sudeste e Poços de Petróleo Perfurados. À despeito da escolha específica da variável "poços perfurados" na tentativa de captar a influência da indústria petrolífera na movimentação de passageiros regulares na região, o relatório não menciona a busca de outras variáveis explicativas que pudessem explicar tal movimentação, como representativas da indústria do turismo, por exemplo. Segundo informado na Figura 2-8, Santos Dumont tem sua movimentação dividida praticamente ao meio entre lazer e negócios. Ainda, o Aeroporto de Galeão apresenta pouco mais de 60% de suas viagens por lazer, contra aproximadamente 29% a negócios. Desta feita, não se pode aferir se foram testadas variáveis explicativas que pudessem conferir ao modelo um poder de explicação maior do que o obtido. Certamente, a indústria do petróleo teria grande influência na demanda regular de outros aeroportos que compõem a RI, como SBCB, SBCP e SBME. No entanto, a representatividade desses aeroportos no share de passageiros regulares da RI é baixa.
Modelo utiliza como uma das variáveis independentes o número de "poços de petróleo perfurados". Na projeção da variável, o relatório cita: "Ainda, a análise não apontou relação entre o número de novos poços com a quantidade de petróleo produzida. Isso pode ser explicado pelo fato de que em diversos anos há um aumento ou redução da exploração dos poços existentes independentemente da execução de novos poços. Ao se comparar o número anual de perfurações em relação ao número de novas FPSOs operacionais observou-se uma média de 29,5 poços perfurados por nova FPSO por ano, parâmetro adotado para a projeção.". Percebe-se que a metodologia busca uma variável que ajude a explicar a variável dependente, e que, nesse caso deve estar associada ao nível de atividade da indústria petrolífera na região. O próprio relatório alega que "a análise não apontou relação entre o número de novos poços com a quantidade de petróleo produzida",  associação que efetivamente refletiria a atividade da indústria. Muito embora o grupo tenha optado pela variável por ter identificado uma relação entre o número de poços perfurados e o número médio de entrada em operação de FPSOs (Floating Production Storage and Offloading). Em adição à consideração de que tal parâmetro possa não representar de forma fidedigna o nível de atividade da indústria, percebeu-se que o parâmetro utilizado para projetar a variável foi o Plano Decenal de Energia de 2030. Para os anos posteriores a 2030, considerou-se a manutenção do nível de exploração de novos poços do último ano, sendo a projeção constante até o fim da concessão, o que pode conferir fragilidade à projeção.
</t>
  </si>
  <si>
    <t xml:space="preserve">Os agrupamentos de apresentação dos resultados da demanda estão confusos. Por vezes, o relatório apresenta como comercial os movimentos regulares e não regulares (passageiros e cargas), e em outros momentos agrega AVG aos movimentos não regulares (o que mistura aviação particular com aviação de serviços aéreos públicos, ou mesmo classes tarifárias distintas - Grupos I e II). Como exemplo, na projeção de movimentos não-regulares, o Consórcio parece classificar o movimento de AVG como não-regular. Contudo, não fica claro ao leitor de que forma tais classificações implicam no cálculo, podendo levar à conclusão de superestimação caso sejam considerados os movimentos de aviação geral (ainda que de forma total ou parcial, considerando apenas taxi aéreo).
Não foi apresentada a projeção da média de assentos ofertados por voo e por classe de envergadura e velocidade de aproximação para os movimentos internacionais. Desse modo, para algumas classes de aeronaves, não é possível rastrear a média de assentos ofertados e, consequentemente, a base de cálculo utilizada na projeção de passageiros por movimento internacional em cada uma dessas classes.
A sequência descrita nos ajustes por fatores específicos aplicados sobre a demanda internacional não guardam sintonia com os resultados apresentados nos gráficos "Projeção de demanda de passageiros internacionais de origem e destino no Brasil, considerando a convergência da elasticidade-PIB", "Projeção de demanda de passageiros com origem e destino internacional", "Resultado do ajuste de passageiros domésticos decorrentes de novas rotas internacionais" (se aplicável) e "Projeção de demanda de passageiros em rotas diretas internacionais no Aeroporto – embarque e desembarque", causando divergência nos valores apresentados nos gráficos.
Os gráficos 8-21 (Mix de aeronaves por classe de velocidade de cruzamento de cabeceira - doméstico) e 8-23 (Mix de aeronaves por classe de faixa de envergadura - doméstico) trazem valores diferentes.
Inconsistência das informações apresentadas no segundo parágrafo da página 227 do Relatório, tendo em vista que a Seção 9.3.1 trata da projeção de cargas de importação e o referido parágrafo trata do volume de carga por movimento doméstico.
</t>
  </si>
  <si>
    <t xml:space="preserve">No caso da demanda de pico de ocupação de estacionamento de veículos, considerou-se que o relatório dispôs de excessivas simplificações metodológicas, assim como não detalhou metodologia de projeção de estacionamento mensalista/isento.
Não considerou na projeção de pico de estacionamento a evolução e as tendências das formas de acesso ao aeroporto que poderão mudar a dinâmica da demanda por vagas.
</t>
  </si>
  <si>
    <r>
      <t>Dados de alcance máximo do sistema de pistas menciona aeronaves típicas de passageiros para o aeroporto não identificadas no relatório de Engenharia e Afins.
Na planilha de projeções de demanda restrita para o aeroporto “</t>
    </r>
    <r>
      <rPr>
        <i/>
        <sz val="11"/>
        <color theme="1"/>
        <rFont val="Times New Roman"/>
        <family val="1"/>
      </rPr>
      <t>SBRJ_Modelo Demanda Restrita_1.00</t>
    </r>
    <r>
      <rPr>
        <sz val="11"/>
        <color theme="1"/>
        <rFont val="Times New Roman"/>
        <family val="1"/>
      </rPr>
      <t>”, a aba de “</t>
    </r>
    <r>
      <rPr>
        <i/>
        <sz val="11"/>
        <color theme="1"/>
        <rFont val="Times New Roman"/>
        <family val="1"/>
      </rPr>
      <t>Pax Dom</t>
    </r>
    <r>
      <rPr>
        <sz val="11"/>
        <color theme="1"/>
        <rFont val="Times New Roman"/>
        <family val="1"/>
      </rPr>
      <t xml:space="preserve">” apresenta linhas com informações não disponíveis, a exemplo dos dados referentes a “Passageiros OD”, “Ajuste Covid” e “Passageiros de CNX e bordo”.
</t>
    </r>
  </si>
  <si>
    <t xml:space="preserve">Seção I - Presença constante de imagens de baixa qualidade, por vezes impossibilitando a captura da informação.
Seção I - Premissas assumidas para formulação da Região de Influência de aviação geral com poucas referências técnicas.
</t>
  </si>
  <si>
    <r>
      <t>Em relação aos efeitos da restrição à ciculação populacional, os estudos trazem as seguintes afirmações: "</t>
    </r>
    <r>
      <rPr>
        <i/>
        <sz val="11"/>
        <color theme="1"/>
        <rFont val="Times New Roman"/>
        <family val="1"/>
      </rPr>
      <t>Considera-se recuperação gradual da circulação, ainda com restrições parciais durante 2021. Após esse período, a perspectiva é de flexibilização da maior parte das medidas restritivas, possibilitando a retomada do tráfego doméstico de forma sustentada</t>
    </r>
    <r>
      <rPr>
        <sz val="11"/>
        <color theme="1"/>
        <rFont val="Times New Roman"/>
        <family val="1"/>
      </rPr>
      <t>" e "</t>
    </r>
    <r>
      <rPr>
        <i/>
        <sz val="11"/>
        <color theme="1"/>
        <rFont val="Times New Roman"/>
        <family val="1"/>
      </rPr>
      <t>Considerando o horizonte da concessão, tem-se que os efeitos da restrição à circulação populacional sobre o tráfego aéreo doméstico brasileiro deixariam de ser sentidos já no início de 2022, o que não afetaria a demanda no período em destaque da concessão</t>
    </r>
    <r>
      <rPr>
        <sz val="11"/>
        <color theme="1"/>
        <rFont val="Times New Roman"/>
        <family val="1"/>
      </rPr>
      <t>".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trismestre), pois alguns indicam tendência reversa, ou perda de força na recuperação, de forma a qualificar a análise. 
Análises de Aviação Geral basicamente a nível nacional, sem detalhar as características do segmento de cada aeroporto.
Variações sazonais foram trabalhadas de forma simplificada.
O estudo tende a conduzir diversas análises exclusivamente sob a ótica da demanda, sem observar que determinados drivers se devem à oferta. Algumas observações do relatório indicam esta percepção, como: “</t>
    </r>
    <r>
      <rPr>
        <i/>
        <sz val="11"/>
        <color theme="1"/>
        <rFont val="Times New Roman"/>
        <family val="1"/>
      </rPr>
      <t>Conforme observado na Figura 2-6, houve crescimento na quantidade de passageiros por movimento comercial (regular e não regular), o que foi possível pelo uso de aviões maiores nas rotas operadas em SBUL. Tal comportamento está alinhado à tendência observada de modernização da frota utilizada pelas companhias aéreas no Brasil e no mundo, conforme trata o capítulo 8</t>
    </r>
    <r>
      <rPr>
        <sz val="11"/>
        <color theme="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t>
    </r>
  </si>
  <si>
    <t xml:space="preserve">Fator "Pontualidade" utiliza como indicadores os voos atrasados e os voos pontuais, obtidos por meio do VRA. No entanto, não especifica qual o conceito de atraso utilizado para a quantificação de voos.
Na medida em que a competição intermodal considera no modelo as variáveis tempo e custos de deslocamento, em função dos custos com combustível e pedágio, conclui-se que o estudo analisa a competição intermodal apenas com transporte particular. O modelo não parece refletir competição intermodal com outros meios de transporte. 
Não especificou a fonte e a metodologia para estabelecimento dos preços médios de combustível por estado, utilizado na variável independente "gasto com combustível" no cálculo do custo de transporte não aéreo (competição intermodal).
Regressão logística da Análise de Competição Intermodal considera as viagens aéreas e não aéreas a partir de 400 Km (seção 6.4.1), classificadas como potenciais para se transformar em aéreas. No entanto, não há referências para o estabelecimento deste parâmetro de distância.
Ao mencionar que o crescimento da demanda não aérea é projetado por meio de uma regressão linear entre o índice ABCR e o PIB brasileiro, a forma funcional do modelo não é apresentada.
</t>
  </si>
  <si>
    <t xml:space="preserve">Metodologia de desenvolvimento do modelo de negócios de serviços aéreos (especialmente novas rotas) estuda apenas pela ótica da demanda, não considerando o da oferta. Estabelecer gatilhos com base na opção do passageiro (calculado em 72%, com base no estudo de dados a nível Brasil) para transformar rotas indiretas em novas rotas diretas no aeroporto ignora as estratégias de malha dos ofertantes (empresas aéreas). Não há também avaliação da factibilidade deste desenvolvimento na prática, já que muitos dos aeroportos avaliados criam muitas rotas diretas antes mesmo do início da concessão (2023). Não há uma avaliação do ponto de vista do estoque de aeronaves e tripulantes disponíveis. Fatores que poderiam ser ajustados no médio ou longo prazo, mas dificilmente possuem capacidade para acompanhar tal ritmo no curto prazo. Desta forma, considerando a metodologia sob a ótica do conjunto de aeroportos infere-se que a malha aérea brasileira caminharia no sentido de ligações ponto a ponto, perdendo aos poucos as características de hub-and-spoke. Contudo, entende-se que o desenvolvimento da malha aérea estaria mais ligado às estratégias comerciais das companhias aéreas em rede (que podem passar, em certa medida, por negociações com os operadores aeroportuários) do que centrar-se no comportamento da demanda de cada aeroporto individualmente.
</t>
  </si>
  <si>
    <r>
      <t>Seção 8.3 - Definição dos gatilhos para criação de rotas diretas e retomada das rotas existentes antes da pandemia. Metodologia para criação de novas rotas domésticas (8.3.1) e internacionais (8.3.2) utiliza como um dos parâmetros voos por semana por classe de aeronave. Não há qualquer referência que suporte o estabelecimento de tais parâmetros.
Seção 9.2.2.4 e Seção 13 - No que compete à projeção de aeronaves cargueiras no aeroporto, o relatório assume a seguinte premissa: "</t>
    </r>
    <r>
      <rPr>
        <i/>
        <sz val="11"/>
        <color theme="1"/>
        <rFont val="Times New Roman"/>
        <family val="1"/>
      </rPr>
      <t>O Aeroporto não recebeu fluxo relevante de aeronaves cargueiras nos últimos anos, e tampouco se vislumbra, no horizonte da concessão, algum fator que altere o modo de transporte das cargas aéreas</t>
    </r>
    <r>
      <rPr>
        <sz val="11"/>
        <color theme="1"/>
        <rFont val="Times New Roman"/>
        <family val="1"/>
      </rPr>
      <t>". Da mesma forma, afirma na seção que analisa a inserção do aeroporto na malha aérea: "</t>
    </r>
    <r>
      <rPr>
        <i/>
        <sz val="11"/>
        <color theme="1"/>
        <rFont val="Times New Roman"/>
        <family val="1"/>
      </rPr>
      <t>Cabe ressaltar que o aeroporto não possui rotas de aeronaves cargueiros e não se prevê alteração dessa dinâmica ao longo do horizonte de concessão, conforme item 9</t>
    </r>
    <r>
      <rPr>
        <sz val="11"/>
        <color theme="1"/>
        <rFont val="Times New Roman"/>
        <family val="1"/>
      </rPr>
      <t>". Entende-se como uma simplificação assumir tal premissa para um período de 30 anos, sem mostrar ao leitor que se estudou as dinâmicas mercadológicas locais, a fim de tentar identificar possíveis migrações de carga em tal período, ou mesmo para sustentar que na matriz produtora local a produção não seria típica para escoamento por via aérea. Não se identificou tais levantamentos também na seção de competição intra e intermodal, que apenas estudou a divisão modal ou a falta de identificação de volumes de importação/exportação aérea nos últimos anos. Na seção 4.2.2 afirmam: "</t>
    </r>
    <r>
      <rPr>
        <i/>
        <sz val="11"/>
        <color theme="1"/>
        <rFont val="Times New Roman"/>
        <family val="1"/>
      </rPr>
      <t>Portanto, não há definição de RI de carga internacional. Em relação às cargas domésticas, conforme apresentado no item 3.2.2, a RI se restringe ao entorno do Aeroporto, com competição pouco expressiva com outros aeroportos</t>
    </r>
    <r>
      <rPr>
        <sz val="11"/>
        <color theme="1"/>
        <rFont val="Times New Roman"/>
        <family val="1"/>
      </rPr>
      <t xml:space="preserve">".
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Utilizam, para o critério de novas rotas para aeródromos da mesma UF, o nível de 24 movimentos anuais em 2019, sem justificar tecnicamente a escolha deste parâmetro.
Na projeção dos parâmetros utilizados para o cálculo da receita de permanência no segmento de AVG, o Consórcio aplica metodologias distintas para estimar o percentual de aeronaves pagantes no perfil doméstico e internacional e não apresenta premissa que justificaria essa diferenciação, haja vista ser mesmo parâmetro que está sendo calculado de modos distintos a depender de sua natureza. Enquanto o percentual de aeronaves pagantes domésticas é calculado por meio do modelo ARIMA de séries temporais, para as aeronaves internacionais optou-se pela manutenção do percentual observado no ano de 2019.
Seção 7.4 - Gráfico da 'Curva de taxa de conexão em função do número de rotas' não apresentou a equação de ajuste da curva.
Informa que a projeção do load factor estaria limitada ao valor projetado nos EUA para o ano de 2040 (86,9%). No entanto, os valores projetados nos gráficos Load factor médio doméstico por classe de envergadura e velocidade de aproximação e Load factor médio internacional por classe de envergadura e velocidade de aproximação não obedecem a tal patamar.
A afirmação de que o movimento de carga aérea doméstica no aeroporto acompanha o movimento de aeronaves comerciais de passageiros (para justificar a adoção do parâmetro de kg/movimentos) poderia ser ilustrada por meio de gráfico contendo as duas séries históricas (eixo principal e secundário).
</t>
    </r>
  </si>
  <si>
    <r>
      <t>Seção 7.2.2.1 - Tabela 7-13: Perfil de antecedência de compra de passagens considerado para o Aeroporto. Tal tabela se refere ao perfil da RI e não do Aeroporto.
Seção 7.2.3.2 - "</t>
    </r>
    <r>
      <rPr>
        <i/>
        <sz val="1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rFont val="Times New Roman"/>
        <family val="1"/>
      </rPr>
      <t>". No entanto, a seção não fornece o market share do aeroporto na RI. Apenas os passageiros ganhos/perdidos em função da competição intramodal.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rFont val="Times New Roman"/>
        <family val="1"/>
      </rPr>
      <t>Caso identifique-se alguma restrição faz-se necessário quantificar o impacto para então recalcular os parâmetros de demanda apresentados anteriormente (demanda de passageiros, movimentos, carga e demandas de pico)</t>
    </r>
    <r>
      <rPr>
        <sz val="11"/>
        <rFont val="Times New Roman"/>
        <family val="1"/>
      </rPr>
      <t>".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t>
    </r>
    <r>
      <rPr>
        <i/>
        <sz val="11"/>
        <rFont val="Times New Roman"/>
        <family val="1"/>
      </rPr>
      <t>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t>
    </r>
    <r>
      <rPr>
        <sz val="11"/>
        <rFont val="Times New Roman"/>
        <family val="1"/>
      </rPr>
      <t xml:space="preserve">". No entanto, considera-se essa informação insuficiente.
A projeção da competição intramodal não detalha a aplicação do modelo estabelecido no item 6.4.2, uma vez que aborda apenas as utilidades (tarifas, conectiviade e pontualidade) e fornece o resultado, enquanto o modelo envolve também tempos e distâncias.
Seção 7.4 - Não explicita a taxa de conexão do aeroporto resultante da metodologia apresentada.
</t>
    </r>
  </si>
  <si>
    <t xml:space="preserve">O Relatório recorre constantemente e excessivamente à consideração de que indicadores calculados pelos dados de 2019 seriam constantes para todo o horizonte da concessão (30 anos).
Argumentação insuficiente para prever que não haverá movimentos cargueiros no futuro: pela não observação de tal tipo de movimentos na série histórica e nem de condições que façam supor mudança neste cenário.
</t>
  </si>
  <si>
    <t xml:space="preserve">Os agrupamentos de apresentação dos resultados da demanda estão confusos. Por vezes, o relatório apresenta como comercial os movimentos regulares e não regulares (passageiros e cargas), e em outros momentos agrega AVG aos movimentos não regulares (o que mistura aviação particular com aviação de serviços aéreos públicos, ou mesmo classes tarifárias distintas - Grupos I e II). Como exemplo, na projeção de movimentos não-regulares, o Consórcio parece classificar o movimento de AVG como não-regular. Contudo, não fica claro ao leitor de que forma tais classificações implicam no cálculo, podendo levar à conclusão de superestimação caso sejam considerados os movimentos de aviação geral (ainda que de forma total ou parcial, considerando apenas taxi aéreo)
Não foi apresentada a projeção da média de assentos ofertados por voo e por classe de envergadura e velocidade de aproximação para os movimentos internacionais. Desse modo, para algumas classes de aeronaves, não é possível rastrear a média de assentos ofertados e, consequentemente, a base de cálculo utilizada na projeção de passageiros por movimento internacional em cada uma dessas classes.
</t>
  </si>
  <si>
    <t xml:space="preserve">No caso da demanda de pico de ocupação de estacionamento de veículos, considerou-se que o relatório dispôs de excessivas simplificações metodológicas, assim como não detalhou metodologia de projeção de estacionamento mensalista/isento. 
Não considerou na projeção de pico de estacionamento a evolução e as tendências das formas de acesso ao aeroporto que poderão mudar a dinâmica da demanda por vagas.
</t>
  </si>
  <si>
    <t xml:space="preserve">Seção I - Presença constante de imagens de baixa qualidade, por vezes impossibilitando a captura da informação
Seção I - Premissas assumidas para formulação da Região de Influência de aviação geral com poucas referências técnicas.
</t>
  </si>
  <si>
    <t>O estudo analisa e considera nas projeções de demanda o histórico de movimentação do aeroporto, considerando, separadamente, e em diferentes níveis de agregação, os dados disponíveis para cada segmento (passageiros, aeronaves e cargas) e perfil (regular, não-regular, doméstica, internacional, conexão etc.), assim como suas variações sazonais ou ocorrências de períodos de pico para os diferentes tipos de tráfego.</t>
  </si>
  <si>
    <r>
      <t>Em relação aos efeitos da restrição à ciculação populacional, os estudos trazem as seguintes afirmações: "</t>
    </r>
    <r>
      <rPr>
        <i/>
        <sz val="11"/>
        <color theme="1"/>
        <rFont val="Times New Roman"/>
        <family val="1"/>
      </rPr>
      <t>Considera-se recuperação gradual da circulação, ainda com restrições parciais durante 2021. Após esse período, a perspectiva é de flexibilização da maior parte das medidas restritivas, possibilitando a retomada do tráfego doméstico de forma sustentada</t>
    </r>
    <r>
      <rPr>
        <sz val="11"/>
        <color theme="1"/>
        <rFont val="Times New Roman"/>
        <family val="1"/>
      </rPr>
      <t>" e "</t>
    </r>
    <r>
      <rPr>
        <i/>
        <sz val="11"/>
        <color theme="1"/>
        <rFont val="Times New Roman"/>
        <family val="1"/>
      </rPr>
      <t>Considerando o horizonte da concessão, tem-se que os efeitos da restrição à circulação populacional sobre o tráfego aéreo doméstico brasileiro deixariam de ser sentidos já no início de 2022, o que não afetaria a demanda no período em destaque da concessão</t>
    </r>
    <r>
      <rPr>
        <sz val="11"/>
        <color theme="1"/>
        <rFont val="Times New Roman"/>
        <family val="1"/>
      </rPr>
      <t>".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trismestre), pois alguns indicam tendência reversa, ou perda de força na recuperação, de forma a qualificar a análise. 
Análises de Aviação Geral basicamente a nível nacional, sem detalhar as características do segmento de cada aeroporto.
Variações sazonais foram trabalhadas de forma simplificada.
O estudo tende a conduzir diversas análises exclusivamente sob a ótica da demanda, sem observar que determinados drivers se devem à oferta. Algumas observações do relatório indicam esta percepção, como: “</t>
    </r>
    <r>
      <rPr>
        <i/>
        <sz val="11"/>
        <color theme="1"/>
        <rFont val="Times New Roman"/>
        <family val="1"/>
      </rPr>
      <t>Conforme observado na Figura 2-6, houve crescimento na quantidade de passageiros por movimento comercial (regular e não regular), o que foi possível pelo uso de aviões maiores nas rotas operadas em SBMK. Tal comportamento está alinhado à tendência observada de modernização da frota utilizada pelas companhias aéreas no Brasil e no mundo, conforme trata o capítulo 8</t>
    </r>
    <r>
      <rPr>
        <sz val="11"/>
        <color theme="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t>
    </r>
  </si>
  <si>
    <r>
      <t>Seção 7.2.2.1 - Tabela 7-13: Perfil de antecedência de compra de passagens considerado para o Aeroporto. Tal tabela se refere ao perfil da RI e não do Aeroporto.
Seção 7.2.3.2 - "</t>
    </r>
    <r>
      <rPr>
        <i/>
        <sz val="11"/>
        <color theme="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color theme="1"/>
        <rFont val="Times New Roman"/>
        <family val="1"/>
      </rPr>
      <t>". No entanto, a seção não fornece o market share do aeroporto na RI. Apenas os passageiros ganhos/perdidos em função da competição intramodal.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color theme="1"/>
        <rFont val="Times New Roman"/>
        <family val="1"/>
      </rPr>
      <t>Caso identifique-se alguma restrição faz-se necessário quantificar o impacto para então recalcular os parâmetros de demanda apresentados anteriormente (demanda de passageiros, movimentos, carga e demandas de pico)</t>
    </r>
    <r>
      <rPr>
        <sz val="11"/>
        <color theme="1"/>
        <rFont val="Times New Roman"/>
        <family val="1"/>
      </rPr>
      <t xml:space="preserve">".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 No entanto, considera-se essa informação insuficiente. 
Seção 7.4 - Não explicita a taxa de conexão do aeroporto resultante da metodologia apresentada.
</t>
    </r>
  </si>
  <si>
    <r>
      <t>O Relatório recorre constantemente e excessivamente à consideração de que indicadores calculados pelos dados de 2019 seriam constantes para todo o horizonte da concessão (30 anos).
Argumentação insuficiente para prever que não haverá movimentos cargueiros no futuro: pela não observação de tal tipo de movimentos na série histórica e nem de condições que façam supor mudança neste cenário.
Seção 7.2.1 - "</t>
    </r>
    <r>
      <rPr>
        <i/>
        <sz val="11"/>
        <color theme="1"/>
        <rFont val="Times New Roman"/>
        <family val="1"/>
      </rPr>
      <t>O melhor modelo encontrado considera as variáveis explicativas PIB, Tarifa aérea e população da RI, em logaritmo e periodicidade mensal, conforme a Equação 7-1: Equação 7-1: Modelo de projeção de passageiros domésticos de origem e destino na RI log(𝑃𝐴𝑋)= 𝛽𝑜+𝛽1log(𝑃𝐼𝐵 𝑅𝐼)+𝛽2log(𝑇𝑎𝑟𝑖𝑓𝑎 𝑅𝐼)+ 𝜇</t>
    </r>
    <r>
      <rPr>
        <sz val="11"/>
        <color theme="1"/>
        <rFont val="Times New Roman"/>
        <family val="1"/>
      </rPr>
      <t xml:space="preserve">". A equação exposta está divergente dos elementos descritos para o modelo.
</t>
    </r>
  </si>
  <si>
    <t xml:space="preserve">Dados de alcance máximo do sistema de pistas para as aeronaves típicas de passageiros divergentes daquelas fornecidas no relatório de Engenharia e Afins. 
</t>
  </si>
  <si>
    <r>
      <t>Em relação aos efeitos da restrição à ciculação populacional, os estudos trazem as seguintes afirmações: "</t>
    </r>
    <r>
      <rPr>
        <i/>
        <sz val="11"/>
        <color theme="1"/>
        <rFont val="Times New Roman"/>
        <family val="1"/>
      </rPr>
      <t>Considera-se recuperação gradual da circulação, ainda com restrições parciais durante 2021. Após esse período, a perspectiva é de flexibilização da maior parte das medidas restritivas, possibilitando a retomada do tráfego doméstico de forma sustentada</t>
    </r>
    <r>
      <rPr>
        <sz val="11"/>
        <color theme="1"/>
        <rFont val="Times New Roman"/>
        <family val="1"/>
      </rPr>
      <t>" e "</t>
    </r>
    <r>
      <rPr>
        <i/>
        <sz val="11"/>
        <color theme="1"/>
        <rFont val="Times New Roman"/>
        <family val="1"/>
      </rPr>
      <t>Considerando o horizonte da concessão, tem-se que os efeitos da restrição à circulação populacional sobre o tráfego aéreo doméstico brasileiro deixariam de ser sentidos já no início de 2022, o que não afetaria a demanda no período em destaque da concessão</t>
    </r>
    <r>
      <rPr>
        <sz val="11"/>
        <color theme="1"/>
        <rFont val="Times New Roman"/>
        <family val="1"/>
      </rPr>
      <t>".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trismestre), pois alguns indicam tendência reversa, ou perda de força na recuperação, de forma a qualificar a análise. 
Análises de Aviação Geral basicamente a nível nacional, sem detalhar as características do segmento de cada aeroporto.
Variações sazonais foram trabalhadas de forma simplificada.
O estudo tende a conduzir diversas análises exclusivamente sob a ótica da demanda, sem observar que determinados drivers se devem à oferta. Algumas observações do relatório indicam esta percepção, como: “</t>
    </r>
    <r>
      <rPr>
        <i/>
        <sz val="11"/>
        <color theme="1"/>
        <rFont val="Times New Roman"/>
        <family val="1"/>
      </rPr>
      <t>Conforme observado na Figura 2-6, houve crescimento na quantidade de passageiros por movimento comercial (regular e não regular), o que foi possível pelo uso de aviões maiores nas rotas operadas em SBUR. Tal comportamento está alinhado à tendência observada de modernização da frota utilizada pelas companhias aéreas no Brasil e no mundo, conforme trata o capítulo 8</t>
    </r>
    <r>
      <rPr>
        <sz val="11"/>
        <color theme="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t>
    </r>
  </si>
  <si>
    <t xml:space="preserve">Fator "Pontualidade" utiliza como indicadores os voos atrasados e os voos pontuais, obtidos por meio do VRA. No entanto, não especifica qual o conceito de atraso utilizado para a quantificação de voos.
Na medida em que a competição intermodal considera no modelo as variáveis tempo e custos de deslocamento, em função dos custos com combustível e pedágio, conclui-se que o estudo analisa a competição intermodal apenas com transporte particular. O modelo não parece refletir competição intermodal com outros meios de transporte. 
Não especificou a fonte e a metodologia para estabelecimento dos preços médios de combustível por estado, utilizado na variável independente "gasto com combustível" no cálculo do custo de transporte não aéreo (competição intermodal).
Regressão logística da Análise de Competição Intermodal considera as viagens aéreas e não aéreas a partir de 400 Km (seção 6.4.1), classificadas como potenciais para se transformar em aéreas. No entanto, não há referências para o estabelecimento deste parâmetro de distância.
Ao mencionar que o crescimento da demanda não aérea é projetado por meio de uma regressão linear entre o índice ABCR e o PIB brasileiro, a forma funcional do modelo não é apresentada.
A Utilidade de Conectividade deve apresentar avanços relativos e pontuais ao longo do horizonte de concessão (conforme projeção de rotas do item 8), o que justifica o avanço dos passageiros capturados pelo Aeroporto em determinados períodos (a partir de 2028 e a partir de 2044);". No entanto, o gráfico 7-14, nos anos citados, aumenta suas perdas de passageiros. 
</t>
  </si>
  <si>
    <t xml:space="preserve">Metodologia de desenvolvimento do modelo de negócios de serviços aéreos (especialmente novas rotas) estuda apenas pela ótica da demanda, não considerando o da oferta. Estabelecer gatilhos com base na opção do passageiro (calculado em 72%, com base no estudo de dados a nível Brasil) para transformar rotas indiretas em novas rotas diretas no aeroporto ignora as estratégias de malha dos ofertantes (empresas aéreas). Não há também avaliação da factibilidade deste desenvolvimento na prática, já que muitos dos aeroportos avaliados criam muitas rotas diretas antes mesmo do início da concessão (2023). Não há uma avaliação do ponto de vista do estoque de aeronaves e tripulantes disponíveis. Fatores que poderiam ser ajustados no médio ou longo prazo, mas dificilmente possuem capacidade para acompanhar tal ritmo no curto prazo. Desta forma, considerando a metodologia sob a ótica do conjunto de aeroportos infere-se que a malha aérea brasileira caminharia no sentido de ligações ponto a ponto, perdendo aos poucos as características de hub-and-spoke. Contudo, entende-se que o desenvolvimento da malha aérea estaria mais ligado às estratégias comerciais das companhias aéreas em rede (que podem passar, em certa medida, por negociações com os operadores aeroportuários) do que centrar-se no comportamento da demanda de cada aeroporto individualmente.
&gt; Seção 13: Referência errada ao aeroporto SBMK quando da análise da conectividade internacional do Aeroporto (1º parágrafo, página 264).
</t>
  </si>
  <si>
    <r>
      <t>Seção 8.3 - Definição dos gatilhos para criação de rotas diretas e retomada das rotas existentes antes da pandemia. Metodologia para criação de novas rotas domésticas (8.3.1) e internacionais (8.3.2) utiliza como um dos parâmetros voos por semana por classe de aeronave. Não há qualquer referência que suporte o estabelecimento de tais parâmetros.
Seção 9.2.2.4 e Seção 13 - No que compete à projeção de aeronaves cargueiras no aeroporto, o relatório assume a seguinte premissa: "</t>
    </r>
    <r>
      <rPr>
        <i/>
        <sz val="11"/>
        <color theme="1"/>
        <rFont val="Times New Roman"/>
        <family val="1"/>
      </rPr>
      <t>O Aeroporto não recebeu fluxo relevante de aeronaves cargueiras nos últimos anos, e tampouco se vislumbra, no horizonte da concessão, algum fator que altere o modo de transporte das cargas aéreas</t>
    </r>
    <r>
      <rPr>
        <sz val="11"/>
        <color theme="1"/>
        <rFont val="Times New Roman"/>
        <family val="1"/>
      </rPr>
      <t>". Da mesma forma, afirma na seção que analisa a inserção do aeroporto na malha aérea: "</t>
    </r>
    <r>
      <rPr>
        <i/>
        <sz val="11"/>
        <color theme="1"/>
        <rFont val="Times New Roman"/>
        <family val="1"/>
      </rPr>
      <t>Cabe ressaltar que o aeroporto não possui rotas de aeronaves cargueiros e não se prevê alteração dessa dinâmica ao longo do horizonte de concessão, conforme item 9</t>
    </r>
    <r>
      <rPr>
        <sz val="11"/>
        <color theme="1"/>
        <rFont val="Times New Roman"/>
        <family val="1"/>
      </rPr>
      <t>". Entende-se como uma simplificação assumir tal premissa para um período de 30 anos, sem mostrar ao leitor que se estudou as dinâmicas mercadológicas locais, a fim de tentar identificar possíveis migrações de carga em tal período, ou mesmo para sustentar que na matriz produtora local a produção não seria típica para escoamento por via aérea. Não se identificou tais levantamentos também na seção de competição intra e intermodal, que apenas estudou a divisão modal ou a falta de identificação de volumes de importação/exportação aérea nos últimos anos. Na seção 4.2.2 afirmam: "</t>
    </r>
    <r>
      <rPr>
        <i/>
        <sz val="11"/>
        <color theme="1"/>
        <rFont val="Times New Roman"/>
        <family val="1"/>
      </rPr>
      <t>Portanto, não há definição de RI de carga internacional. Em relação às cargas domésticas, conforme apresentado no item 3.2.2, a RI se restringe ao entorno do Aeroporto, com competição pouco expressiva com outros aeroportos</t>
    </r>
    <r>
      <rPr>
        <sz val="11"/>
        <color theme="1"/>
        <rFont val="Times New Roman"/>
        <family val="1"/>
      </rPr>
      <t xml:space="preserve">".
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Utilizam, para o critério de novas rotas para aeródromos da mesma UF, o nível de 24 movimentos anuais em 2019, sem justificar tecnicamente a escolha deste parâmetro.
Na projeção dos parâmetros utilizados para o cálculo da receita de permanência no segmento de AVG, o Consórcio aplica metodologias distintas para estimar o percentual de aeronaves pagantes no perfil doméstico e internacional e não apresenta premissa que justificaria essa diferenciação, haja vista ser mesmo parâmetro que está sendo calculado de modos distintos a depender de sua natureza. Enquanto o percentual de aeronaves pagantes domésticas é calculado por meio do modelo ARIMA de séries temporais, para as aeronaves internacionais optou-se pela manutenção do percentual observado no ano de 2019.
Seção 7.4 - Gráfico da 'Curva de taxa de conexão em função do número de rotas' não apresentou a equação de ajuste da curva.
Informa que a projeção do load factor estaria limitada ao valor projetado nos EUA para o ano de 2040 (86,9%). No entanto, os valores projetados nos gráficos Load factor médio doméstico por classe de envergadura e velocidade de aproximação e Load factor médio internacional por classe de envergadura e velocidade de aproximação não obedecem a tal patamar.
</t>
    </r>
  </si>
  <si>
    <r>
      <t>Seção 7.2.2.1 - Tabela 7-13: Perfil de antecedência de compra de passagens considerado para o Aeroporto. Tal tabela se refere ao perfil da RI e não do Aeroporto.
Seção 7.2.3.2 - "</t>
    </r>
    <r>
      <rPr>
        <i/>
        <sz val="1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rFont val="Times New Roman"/>
        <family val="1"/>
      </rPr>
      <t>". No entanto, a seção não fornece o market share do aeroporto na RI. Apenas os passageiros ganhos/perdidos em função da competição intramodal.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rFont val="Times New Roman"/>
        <family val="1"/>
      </rPr>
      <t>Caso identifique-se alguma restrição faz-se necessário quantificar o impacto para então recalcular os parâmetros de demanda apresentados anteriormente (demanda de passageiros, movimentos, carga e demandas de pico)</t>
    </r>
    <r>
      <rPr>
        <sz val="11"/>
        <rFont val="Times New Roman"/>
        <family val="1"/>
      </rPr>
      <t>".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t>
    </r>
    <r>
      <rPr>
        <i/>
        <sz val="11"/>
        <rFont val="Times New Roman"/>
        <family val="1"/>
      </rPr>
      <t>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t>
    </r>
    <r>
      <rPr>
        <sz val="11"/>
        <rFont val="Times New Roman"/>
        <family val="1"/>
      </rPr>
      <t xml:space="preserve">" No entanto, considera-se essa informação insuficiente.
Seção 7.4 - Não explicita a taxa de conexão do aeroporto resultante da metodologia apresentada. 
</t>
    </r>
  </si>
  <si>
    <t xml:space="preserve">O Relatório recorre constantemente e excessivamente à consideração de que indicadores calculados pelos dados de 2019 seriam constantes para todo o horizonte da concessão (30 anos).
A afirmação de que o movimento de carga aérea doméstica no aeroporto acompanha o movimento de aeronaves comerciais de passageiros (para justificar a adoção do parâmetro de kg/movimentos) poderia ser ilustrada por meio de gráfico contendo as duas séries históricas (eixo principal e secundário).
Argumentação insuficiente para prever que não haverá movimentos cargueiros no futuro: pela não observação de tal tipo de movimentos na série histórica e nem de condições que façam supor mudança neste cenário.
</t>
  </si>
  <si>
    <t xml:space="preserve">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Apesar de caracterizar e justificar a não projeção de av. regular no aeroporto, no capítulo 2, citou a operação regular atendida no aeroporto pela TWO até mar/20. O que pode ser uma inconsistência interna. Uma vez que a demanda já se realizou no passado, deixando de ser atendida por um fator mercadológico (fusão de empresas) e pela pandemia de COVID-19, considera-se que o estudo deveria aprofundar as razões técnicas para prever que tal modelo de negócio não se desenvolveria novamente no aeroporto pelos próximos 30 anos, atendendo não apenas a rota para São Paulo, mas também uma aviação regional (como, por exemplo, região do Vale do Aço, Costa Verde, turismo religioso no estado de São Paulo, Guarujá, entre outros). A não consideração desta possibilidade pode ser destacada ainda em função da não previsão de operação de aeronaves de baixa performance em Santos Dumont (seja de aviação geral ou comercial), a qual deveria dispor de opção aeroportuária na região.
Na projeção dos parâmetros utilizados para o cálculo da receita de permanência no segmento de AVG, o Consórcio aplica metodologias distintas para estimar o percentual de aeronaves pagantes no perfil doméstico e internacional e não apresenta premissa que justificaria essa diferenciação, haja vista ser mesmo parâmetro que está sendo calculado de modos distintos a depender de sua natureza. Enquanto o percentual de aeronaves pagantes domésticas é calculado por meio do modelo ARIMA de séries temporais, para as aeronaves internacionais optou-se pela manutenção do percentual observado no ano de 2019.
</t>
  </si>
  <si>
    <r>
      <t>O relatório é generalista ao indicar que "</t>
    </r>
    <r>
      <rPr>
        <i/>
        <sz val="11"/>
        <rFont val="Times New Roman"/>
        <family val="1"/>
      </rPr>
      <t>Caso identifique-se alguma restrição faz-se necessário quantificar o impacto para então recalcular os parâmetros de demanda apresentados anteriormente (demanda de passageiros, movimentos, carga e demandas de pico)</t>
    </r>
    <r>
      <rPr>
        <sz val="11"/>
        <rFont val="Times New Roman"/>
        <family val="1"/>
      </rPr>
      <t>".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t>
    </r>
    <r>
      <rPr>
        <i/>
        <sz val="11"/>
        <rFont val="Times New Roman"/>
        <family val="1"/>
      </rPr>
      <t>Por meio de rotina computacional (conforme explanado no item 6.2.2) foram realizados testes de regressão linear múltipla com diversas combinações possíveis de variáveis independentes para a previsão de movimentos de aeronaves de AVG dos aeroportos selecionados da RI em diferentes periodicidades. As regressões geradas foram filtradas para se selecionar a mais adequada</t>
    </r>
    <r>
      <rPr>
        <sz val="11"/>
        <rFont val="Times New Roman"/>
        <family val="1"/>
      </rPr>
      <t xml:space="preserve">". No entanto, considera-se essa informação insuficiente.
</t>
    </r>
  </si>
  <si>
    <t xml:space="preserve">O Relatório recorre à consideração de que indicadores calculados pelos dados de 2019 seriam constantes para todo o horizonte da concessão (por 30 anos).
</t>
  </si>
  <si>
    <r>
      <t>No caso da demanda de pico de ocupação de estacionamento de veículos, considerou-se que o relatório dispôs de excessivas simplificações metodológicas, assim como não detalhou metodologia de projeção de estacionamento mensalista/isento.
Não considerou na projeção de pico de estacionamento a evolução e as tendências das formas de acesso ao aeroporto que poderão mudar a dinâmica da demanda por vagas.
Para pista, calculam o baseline (2019) com dados do dataroom para os aeroportos. No entanto, para a projeção, aplicam os mesmos fatores de evolução dos dados da Etapa Básica da ANAC, que é formada por dados de aviação comercial, conforme descrição da Seção 11.1 "</t>
    </r>
    <r>
      <rPr>
        <i/>
        <sz val="11"/>
        <color theme="1"/>
        <rFont val="Times New Roman"/>
        <family val="1"/>
      </rPr>
      <t>ANAC (Dados da Etapa Básica para empresas domésticas e estrangeiras): dados voo a voo, contendo informações das aeronaves (modelo, matrícula, assentos), e número de passageiros pagos e grátis embarcados em voos domésticos e internacionais, regulares e não-regulares, na aviação comercial</t>
    </r>
    <r>
      <rPr>
        <sz val="11"/>
        <color theme="1"/>
        <rFont val="Times New Roman"/>
        <family val="1"/>
      </rPr>
      <t>". Entende-se não ser condizente.
Simplificação da metodologia de projeção de pico de estacionamento. Considerou-se que as vagas seriam ocupadas por veículos de longa estadia e que estas cresceriam à mesma taxa da movimentação total de AVG, estando sempre 100% lotadas. Reproduz-se: "</t>
    </r>
    <r>
      <rPr>
        <i/>
        <sz val="11"/>
        <color theme="1"/>
        <rFont val="Times New Roman"/>
        <family val="1"/>
      </rPr>
      <t xml:space="preserve">A projeção de demanda de vagas de estacionamento foi desenhada de forma a contemplar os diferentes segmentos de usuários e seus respectivos drivers de crescimento. Considerando os diferentes segmentos de demanda e informações colhidas em sítio que o estacionamento disponível se encontra sempre saturado, foi adotado que todas as vagas disponíveis são ocupadas por veículos em longa estadia. Considerando a existência de 100 vagas de estacionamento no aeroporto120, este fator indica uma ocupação de 100% das vagas no pico em 2019".
</t>
    </r>
  </si>
  <si>
    <t xml:space="preserve">A análise de restrição de movimetnos de AVG em Jacarepaguá identifica a saturação do aeroporto a partir de 2045. No entanto, não faz menção às opções de absorção da demanda excedente do aeroporto na RI. Apenas cita que a demanda deverá ser absorvida por seus competidores diretos, exceto SBRJ (nota de rodapé nº 129).
Ao apresentar a projeção da demanda no cenário de restrições de capacidade da RI (Figura 12-1, página 116), o Consórcio soma a demanda prevista originalmente para SBJR, àquela preterida pelo Aeroporto de Santos Dumont. Nesse sentido, tendo em vista que a projeção da demanda de pico é feita na seção anterior (Seção 11), não fica claro se o ajuste supracitado seria capaz de provocar mudanças sobre a projeção de demanda de pico do aeroporto e, consequentemente, sobre o dimensionamento da infraestrutura do Aeroporto estudado. 
</t>
  </si>
  <si>
    <t xml:space="preserve">Seção I - Presença constante de imagens de baixa qualidade, por vezes impossibilitando a captura da informação.
Seção I - Premissas assumidas para formulação da Região de Influência de aviação geral com poucas referências técnicas.
Não delimitam a área de influência de cargas de importação assim como fazem para exportação.
</t>
  </si>
  <si>
    <r>
      <t>Em relação aos efeitos da restrição à ciculação populacional, os estudos trazem as seguintes afirmações: "Considera-se recuperação gradual da circulação, ainda com restrições parciais durante 2021. Após esse período, a perspectiva é de flexibilização da maior parte das medidas restritivas, possibilitando a retomada do tráfego doméstico de forma sustentada." e "Considerando o horizonte da concessão, tem-se que os efeitos da restrição à circulação populacional sobre o tráfego aéreo doméstico brasileiro deixariam de ser sentidos já no início de 2022, o que não afetaria a demanda no período em destaque da concessão.".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trismestre), pois alguns indicam tendência reversa, ou perda de força na recuperação, de forma a qualificar a análise. 
Análises de Aviação Geral basicamente a nível nacional, sem detalhar as características do segmento de cada aeroporto.
Variações sazonais foram trabalhadas de forma simplificada.
O estudo tende a conduzir diversas análises exclusivamente sob a ótica da demanda, sem observar que determinados drivers se devem à oferta. Algumas observações do relatório indicam esta percepção, como: “C</t>
    </r>
    <r>
      <rPr>
        <i/>
        <sz val="11"/>
        <color theme="1"/>
        <rFont val="Times New Roman"/>
        <family val="1"/>
      </rPr>
      <t>onforme observado na Figura 2-6, houve crescimento na quantidade de passageiros por movimento comercial (regular e não regular), o que foi possível pelo uso de aviões maiores nas rotas operadas em SBBE. Tal comportamento está alinhado à tendência observada de modernização da frota utilizada pelas companhias aéreas no Brasil e no mundo, conforme trata o capítulo 8</t>
    </r>
    <r>
      <rPr>
        <sz val="11"/>
        <color theme="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t>
    </r>
  </si>
  <si>
    <t xml:space="preserve">Fator "Pontualidade" utiliza como indicadores os voos atrasados e os voos pontuais, obtidos por meio do VRA. No entanto, não especifica qual o conceito de atraso utilizado para a quantificação de voos.
Na medida em que a competição intermodal considera no modelo as variáveis tempo e custos de deslocamento, em função dos custos com combustível e pedágio, conclui-se que o estudo analisa a competição intermodal apenas com transporte particular. O modelo não parece refletir competição intermodal com outros meios de transporte. 
Não especificou a fonte e a metodologia para estabelecimento dos preços médios de combustível por estado, utilizado na variável independente "gasto com combustível" no cálculo do custo de transporte não aéreo (competição intermodal).
Regressão logística da Análise de Competição Intermodal considera as viagens aéreas e não aéreas a partir de 400 Km (seção 6.4.1), classificadas como potenciais para se transformar em aéreas. No entanto, não há referências para o estabelecimento deste parâmetro de distância.
Ao mencionar que o crescimento da demanda não aérea é projetado por meio de uma regressão linear entre o índice ABCR e o PIB brasileiro, a forma funcional do modelo não é apresentada.
Sobre a consideração da competição intramodal nos fluxos do aeroporto, verifica-se que há uma diferenciação da metodologia adotada para os perfis de passageiros doméstico e internacional, a qual não é justificada ao longo do Relatório.
Detalhamento de cargas internacionais não faz correlação com os itens relevantes elencados para importação e exportação para o aeroporto.
</t>
  </si>
  <si>
    <r>
      <t>Seção 8.3 - Definição dos gatilhos para criação de rotas diretas e retomada das rotas existentes antes da pandemia. Metodologia para criação de novas rotas domésticas (8.3.1) e internacionais (8.3.2) utiliza como um dos parâmetros voos por semana por classe de aeronave. Não há qualquer referência que suporte o estabelecimento de tais parâmetros.
Seção 9.2.2.4 e Seção 13 - No que compete à projeção de aeronaves cargueiras no aeroporto, o relatório assume a seguinte premissa: "</t>
    </r>
    <r>
      <rPr>
        <i/>
        <sz val="11"/>
        <color theme="1"/>
        <rFont val="Times New Roman"/>
        <family val="1"/>
      </rPr>
      <t>O Aeroporto não recebeu fluxo relevante de aeronaves cargueiras nos últimos anos, e tampouco se vislumbra, no horizonte da concessão, algum fator que altere o modo de transporte das cargas aéreas</t>
    </r>
    <r>
      <rPr>
        <sz val="11"/>
        <color theme="1"/>
        <rFont val="Times New Roman"/>
        <family val="1"/>
      </rPr>
      <t>". Da mesma forma, afirma na seção que analisa a inserção do aeroporto na malha aérea: "</t>
    </r>
    <r>
      <rPr>
        <i/>
        <sz val="11"/>
        <color theme="1"/>
        <rFont val="Times New Roman"/>
        <family val="1"/>
      </rPr>
      <t>Cabe ressaltar que o aeroporto não possui rotas de aeronaves cargueiros e não se prevê alteração dessa dinâmica ao longo do horizonte de concessão, conforme item 9</t>
    </r>
    <r>
      <rPr>
        <sz val="11"/>
        <color theme="1"/>
        <rFont val="Times New Roman"/>
        <family val="1"/>
      </rPr>
      <t xml:space="preserve">". Entende-se como uma simplificação assumir tal premissa para um período de 30 anos, sem mostrar ao leitor que se estudou as dinâmicas mercadológicas locais, a fim de tentar identificar possíveis migrações de carga em tal período, ou mesmo para sustentar que na matriz produtora local a produção não seria típica para escoamento por via aérea. Não se identificou tais levantamentos também na seção de competição intra e intermodal, que apenas estudou a divisão modal ou a falta de identificação de volumes de importação/exportação aérea nos últimos anos. Na seção 4.2.2 afirmam: "Portanto, não há definição de RI de carga internacional. Em relação às cargas domésticas, conforme apresentado no item 3.2.2, a RI se restringe ao entorno do Aeroporto, com competição pouco expressiva com outros aeroportos".
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Utilizam, para o critério de novas rotas para aeródromos da mesma UF, o nível de 24 movimentos anuais em 2019, sem justificar tecnicamente a escolha deste parâmetro.
Ao projetar o volume de carga doméstica no Aeroporto, o Consórcio afirma que não há histórico recente de operação relevante de correios neste e, por isso, considerou que não haveria movimentação dessa categoria de cargas até o final da concessão (página 212). Entretanto, tendo em vista a composição do peso de carga doméstica embarcada e desembarcada em SBBE, verifica-se que essa parece ser uma premissa forte, uma vez que, tal como apresentado na Seção 2.1, a carga postal se consolida como uma das principais categorias de cargas domésticas movimentadas no Aeroporto. A referida informação pode ser, inclusive, confirmada por meio das informações constantes na Figuras 2-16 e 2-17. Como as cargas postais aéreas são movimentadas exclusivamente por aeronaves cargueiras, entende-se que essa premissa pode levar à uma subestimação da projeção dos movimentos de aeronaves cargueiras.
Na projeção dos parâmetros utilizados para o cálculo da receita de permanência no segmento de AVG, o Consórcio aplica metodologias distintas para estimar o percentual de aeronaves pagantes no perfil doméstico e internacional e não apresenta premissa que justificaria essa diferenciação, haja vista ser mesmo parâmetro que está sendo calculado de modos distintos a depender de sua natureza. Enquanto o percentual de aeronaves pagantes domésticas é calculado por meio do modelo ARIMA de séries temporais, para as aeronaves internacionais optou-se pela manutenção do percentual observado no ano de 2019.
Seção 7.4 - Gráfico da 'Curva de taxa de conexão em função do número de rotas' não apresentou a equação de ajuste da curva.
Informa que a projeção do load factor estaria limitada ao valor projetado nos EUA para o ano de 2040 (86,9%). No entanto, os valores projetados nos gráficos Load factor médio doméstico por classe de envergadura e velocidade de aproximação e Load factor médio internacional por classe de envergadura e velocidade de aproximação não obedecem a tal patamar.
A afirmação de que o movimento de carga aérea doméstica no aeroporto acompanha o movimento de aeronaves comerciais de passageiros (para justificar a adoção do parâmetro de kg/movimentos) poderia ser ilustrada por meio de gráfico contendo as duas séries históricas (eixo principal e secundário).
</t>
    </r>
  </si>
  <si>
    <r>
      <t>Seção 7.1.2 - "</t>
    </r>
    <r>
      <rPr>
        <i/>
        <sz val="11"/>
        <color theme="1"/>
        <rFont val="Times New Roman"/>
        <family val="1"/>
      </rPr>
      <t>Com relação às defasagens111, elas foram contempladas para PIB, tarifa aérea e yield, tanto para abrangência nacional como regional (Sudeste e RI), utilizando-se de inteligência conferida pelo relatório Brasil Que Voa (BQV), da SAC/MI, que contém informações de origem e destino real, entre outras, para 2014</t>
    </r>
    <r>
      <rPr>
        <sz val="11"/>
        <color theme="1"/>
        <rFont val="Times New Roman"/>
        <family val="1"/>
      </rPr>
      <t>". Utilizaram o mesmo parágrafo para todos os relatórios sem atualizar a região.
Seção 7.2.2.1 - Tabela 7-13: Perfil de antecedência de compra de passagens considerado para o Aeroporto. Tal tabela se refere ao perfil da RI e não do Aeroporto.
Seção 7.2.3.2 - "</t>
    </r>
    <r>
      <rPr>
        <i/>
        <sz val="11"/>
        <color theme="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color theme="1"/>
        <rFont val="Times New Roman"/>
        <family val="1"/>
      </rPr>
      <t>". No entanto, a seção não fornece o market share do aeroporto na RI. Apenas os passageiros ganhos/perdidos em função da competição intramodal.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color theme="1"/>
        <rFont val="Times New Roman"/>
        <family val="1"/>
      </rPr>
      <t>Caso identifique-se alguma restrição faz-se necessário quantificar o impacto para então recalcular os parâmetros de demanda apresentados anteriormente (demanda de passageiros, movimentos, carga e demandas de pico)</t>
    </r>
    <r>
      <rPr>
        <sz val="11"/>
        <color theme="1"/>
        <rFont val="Times New Roman"/>
        <family val="1"/>
      </rPr>
      <t>".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t>
    </r>
    <r>
      <rPr>
        <i/>
        <sz val="11"/>
        <color theme="1"/>
        <rFont val="Times New Roman"/>
        <family val="1"/>
      </rPr>
      <t>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t>
    </r>
    <r>
      <rPr>
        <sz val="11"/>
        <color theme="1"/>
        <rFont val="Times New Roman"/>
        <family val="1"/>
      </rPr>
      <t xml:space="preserve">". No entanto, considera-se essa informação insuficiente.
Construção do modelo informa a opção pelo método dos mínimos quadrados generalizados (MQG) para corrigir o problema da autocorrelação dos resíduos. No entanto, não deixou claro se o problema da heterocedasticidade dos resíduos também foi solucionado.
Seção 7.4 - Não explicita a taxa de conexão do aeroporto resultante da metodologia apresentada.
</t>
    </r>
  </si>
  <si>
    <t xml:space="preserve">O Relatório recorre constantemente e excessivamente à consideração de que indicadores calculados pelos dados de 2019 seriam constantes para todo o horizonte da concessão (30 anos).
Seção 10.6 - A análise do histórico de pax/movimento informa (texto padrão) "relativa estabilidade" em séries históricas que, por muitas vezes, possuem variações significativas.
Argumentação insuficiente para prever que não haverá movimentos cargueiros no futuro: pela não observação de tal tipo de movimentos na série histórica e nem de condições que façam supor mudança neste cenário.
</t>
  </si>
  <si>
    <t xml:space="preserve">Os agrupamentos de apresentação dos resultados da demanda estão confusos. Por vezes, o relatório apresenta como comercial os movimentos regulares e não regulares (passageiros e cargas), e em outros momentos agrega AVG aos movimentos não regulares (o que mistura aviação particular com aviação de serviços aéreos públicos, ou mesmo classes tarifárias distintas - Grupos I e II). Como exemplo, na projeção de movimentos não-regulares, o Consórcio parece classificar o movimento de AVG como não-regular. Contudo, não fica claro ao leitor de que forma tais classificações implicam no cálculo, podendo levar à conclusão de superestimação caso sejam considerados os movimentos de aviação geral (ainda que de forma total ou parcial, considerando apenas taxi aéreo).
Não foi apresentada a projeção da média de assentos ofertados por voo e por classe de envergadura e velocidade de aproximação para os movimentos internacionais. Desse modo, para algumas classes de aeronaves, não é possível rastrear a média de assentos ofertados e, consequentemente, a base de cálculo utilizada na projeção de passageiros por movimento internacional em cada uma dessas classes.
A sequência descrita nos ajustes por fatores específicos aplicados sobre a demanda internacional não guardam sintonia com os resultados apresentados nos gráficos "Projeção de demanda de passageiros internacionais de origem e destino no Brasil, considerando a convergência da elasticidade-PIB", "Projeção de demanda de passageiros com origem e destino internacional", "Resultado do ajuste de passageiros domésticos decorrentes de novas rotas internacionais" (se aplicável) e "Projeção de demanda de passageiros em rotas diretas internacionais no Aeroporto – embarque e desembarque", causando divergência nos valores apresentados nos gráficos.
Seção 9.3.1: Inconsistência das informações apresentadas no terceiro parágrafo da página 214 do Relatório, tendo em vista que a Seção 9.3.1 trata da projeção de cargas de importação e o referido parágrafo trata do volume de carga por movimento doméstico.
</t>
  </si>
  <si>
    <t xml:space="preserve">No caso da demanda de pico de ocupação de estacionamento de veículos, considerou-se que o relatório dispôs de excessivas simplificações metodológicas, assim como não detalhou metodologia de projeção de estacionamento mensalista/isento. &gt; Não considerou na projeção de pico de estacionamento a evolução e as tendências das formas de acesso ao aeroporto que poderão mudar a dinâmica da demanda por vagas.
</t>
  </si>
  <si>
    <r>
      <t>Seção I - Presença constante de imagens de baixa qualidade, por vezes impossibilitando a captura da informação.
Seção I - Premissas assumidas para formulação da Região de Influência de aviação geral com poucas referências técnicas.
Conflito entre informações da distância do aeroporto ao centro da cidade.
Trecho inconsistente: "</t>
    </r>
    <r>
      <rPr>
        <i/>
        <sz val="11"/>
        <rFont val="Times New Roman"/>
        <family val="1"/>
      </rPr>
      <t>Acerca da mobilidade urbana de Macapá, atualmente a população do município é servida por uma rede de transporte rodoviário, aéreo e hidroviário, que...</t>
    </r>
    <r>
      <rPr>
        <sz val="11"/>
        <rFont val="Times New Roman"/>
        <family val="1"/>
      </rPr>
      <t>". Não parece haver uma rede de transporte aéreo para mobilidade urbana.</t>
    </r>
  </si>
  <si>
    <r>
      <t>Em relação aos efeitos da restrição à ciculação populacional, os estudos trazem as seguintes afirmações: "</t>
    </r>
    <r>
      <rPr>
        <i/>
        <sz val="11"/>
        <rFont val="Times New Roman"/>
        <family val="1"/>
      </rPr>
      <t>Considera-se recuperação gradual da circulação, ainda com restrições parciais durante 2021. Após esse período, a perspectiva é de flexibilização da maior parte das medidas restritivas, possibilitando a retomada do tráfego doméstico de forma sustentada</t>
    </r>
    <r>
      <rPr>
        <sz val="11"/>
        <rFont val="Times New Roman"/>
        <family val="1"/>
      </rPr>
      <t>" e "</t>
    </r>
    <r>
      <rPr>
        <i/>
        <sz val="11"/>
        <rFont val="Times New Roman"/>
        <family val="1"/>
      </rPr>
      <t>Considerando o horizonte da concessão, tem-se que os efeitos da restrição à circulação populacional sobre o tráfego aéreo doméstico brasileiro deixariam de ser sentidos já no início de 2022, o que não afetaria a demanda no período em destaque da concessão</t>
    </r>
    <r>
      <rPr>
        <sz val="11"/>
        <rFont val="Times New Roman"/>
        <family val="1"/>
      </rPr>
      <t>".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trismestre), pois alguns indicam tendência reversa, ou perda de força na recuperação, de forma a qualificar a análise. 
Análises de Aviação Geral basicamente a nível nacional, sem detalhar as características do segmento de cada aeroporto.
Variações sazonais foram trabalhadas de forma simplificada.
O estudo tende a conduzir diversas análises exclusivamente sob a ótica da demanda, sem observar que determinados drivers se devem à oferta. Algumas observações do relatório indicam esta percepção, como: “</t>
    </r>
    <r>
      <rPr>
        <i/>
        <sz val="11"/>
        <rFont val="Times New Roman"/>
        <family val="1"/>
      </rPr>
      <t>Conforme observado na Figura 2-6, houve crescimento na quantidade de passageiros por movimento comercial (regular e não regular), o que foi possível pelo uso de aviões maiores nas rotas operadas em SBMQ. Tal comportamento está alinhado à tendência observada de modernização da frota utilizada pelas companhias aéreas no Brasil e no mundo, conforme trata o capítulo 8</t>
    </r>
    <r>
      <rPr>
        <sz val="1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t>
    </r>
  </si>
  <si>
    <r>
      <t>Seção 8.3 - Definição dos gatilhos para criação de rotas diretas e retomada das rotas existentes antes da pandemia. Metodologia para criação de novas rotas domésticas (8.3.1) e internacionais (8.3.2) utiliza como um dos parâmetros voos por semana por classe de aeronave. Não há qualquer referência que suporte o estabelecimento de tais parâmetros.
Seção 9.2.2.4 e Seção 13 - No que compete à projeção de aeronaves cargueiras no aeroporto, o relatório assume a seguinte premissa: "</t>
    </r>
    <r>
      <rPr>
        <i/>
        <sz val="11"/>
        <rFont val="Times New Roman"/>
        <family val="1"/>
      </rPr>
      <t>O Aeroporto não recebeu fluxo relevante de aeronaves cargueiras nos últimos anos, e tampouco se vislumbra, no horizonte da concessão, algum fator que altere o modo de transporte das cargas aéreas</t>
    </r>
    <r>
      <rPr>
        <sz val="11"/>
        <rFont val="Times New Roman"/>
        <family val="1"/>
      </rPr>
      <t>". Da mesma forma, afirma na seção que analisa a inserção do aeroporto na malha aérea: "</t>
    </r>
    <r>
      <rPr>
        <i/>
        <sz val="11"/>
        <rFont val="Times New Roman"/>
        <family val="1"/>
      </rPr>
      <t>Cabe ressaltar que o aeroporto não possui rotas de aeronaves cargueiros e não se prevê alteração dessa dinâmica ao longo do horizonte de concessão, conforme item 9</t>
    </r>
    <r>
      <rPr>
        <sz val="11"/>
        <rFont val="Times New Roman"/>
        <family val="1"/>
      </rPr>
      <t>". Entende-se como uma simplificação assumir tal premissa para um período de 30 anos, sem mostrar ao leitor que se estudou as dinâmicas mercadológicas locais, a fim de tentar identificar possíveis migrações de carga em tal período, ou mesmo para sustentar que na matriz produtora local a produção não seria típica para escoamento por via aérea. Não se identificou tais levantamentos também na seção de competição intra e intermodal, que apenas estudou a divisão modal ou a falta de identificação de volumes de importação/exportação aérea nos últimos anos. Na seção 4.2.2 afirmam: "</t>
    </r>
    <r>
      <rPr>
        <i/>
        <sz val="11"/>
        <rFont val="Times New Roman"/>
        <family val="1"/>
      </rPr>
      <t>Portanto, não há definição de RI de carga internacional. Em relação às cargas domésticas, conforme apresentado no item 3.2.2, a RI se restringe ao entorno do Aeroporto, com competição pouco expressiva com outros aeroportos</t>
    </r>
    <r>
      <rPr>
        <sz val="11"/>
        <rFont val="Times New Roman"/>
        <family val="1"/>
      </rPr>
      <t>".
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Utilizam, para o critério de novas rotas para aeródromos da mesma UF, o nível de 24 movimentos anuais em 2019, sem justificar tecnicamente a escolha deste parâmetro.
Seção 7.4 - Gráfico da 'Curva de taxa de conexão em função do número de rotas' não apresentou a equação de ajuste da curva.
Informa que a projeção do load factor estaria limitada ao valor projetado nos EUA para o ano de 2040 (86,9%). No entanto, os valores projetados nos gráficos Load factor médio doméstico por classe de envergadura e velocidade de aproximação e Load factor médio internacional por classe de envergadura e velocidade de aproximação não obedecem a tal patamar.
A afirmação de que o movimento de carga aérea doméstica no aeroporto acompanha o movimento de aeronaves comerciais de passageiros (para justificar a adoção do parâmetro de kg/movimentos) poderia ser ilustrada por meio de gráfico contendo as duas séries históricas (eixo principal e secundário).
Seção 9.3.1 - O trecho a seguir indica incoerência entre os argumentos postos e a assunção adotada pelo autor: "</t>
    </r>
    <r>
      <rPr>
        <i/>
        <sz val="11"/>
        <rFont val="Times New Roman"/>
        <family val="1"/>
      </rPr>
      <t>Com os ganhos de eficiência previstos a partir das melhorias propostas pela Receita Federal, explicitadas no item 9.3.3, a tendência é que se reduza a representatividade do fluxo de cargas em trânsito, e que a transferência de carga entre recintos primários seja utilizada apenas em casos específicos. Alinhando essa tendência de redução de recebimento de carga de outros recintos com o volume pouco relevante movimentado historicamente no Aeroporto, optou-se por utilizar os valores mensais observados em 2019 para a projeção de cargas de importação</t>
    </r>
    <r>
      <rPr>
        <sz val="11"/>
        <rFont val="Times New Roman"/>
        <family val="1"/>
      </rPr>
      <t xml:space="preserve">".
Tabela 9-5: Percentual de redução de tempo de operação referente a cada tipo de melhoria implementada. Não há embasamento para suportar a divisão percentual do tempo total previsto de redução entre os processos de implantação do Duimp e do Aumento de operadores OEA.
</t>
    </r>
  </si>
  <si>
    <r>
      <t>Seção 7.1.2 - "</t>
    </r>
    <r>
      <rPr>
        <i/>
        <sz val="11"/>
        <rFont val="Times New Roman"/>
        <family val="1"/>
      </rPr>
      <t>Com relação às defasagens111, elas foram contempladas para PIB, tarifa aérea e yield, tanto para abrangência nacional como regional (Sudeste e RI), utilizando-se de inteligência conferida pelo relatório Brasil Que Voa (BQV), da SAC/MI, que contém informações de origem e destino real, entre outras, para 2014</t>
    </r>
    <r>
      <rPr>
        <sz val="11"/>
        <rFont val="Times New Roman"/>
        <family val="1"/>
      </rPr>
      <t>". Utilizaram o mesmo parágrafo para todos os relatórios sem atualizar a região.
Seção 7.2.2.1 - Tabela 7-13: Perfil de antecedência de compra de passagens considerado para o Aeroporto. Tal tabela se refere ao perfil da RI e não do Aeroporto.
Seção 7.2.3.2 - "</t>
    </r>
    <r>
      <rPr>
        <i/>
        <sz val="1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rFont val="Times New Roman"/>
        <family val="1"/>
      </rPr>
      <t>". No entanto, a seção não fornece o market share do aeroporto na RI. Apenas os passageiros ganhos/perdidos em função da competição intramodal.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rFont val="Times New Roman"/>
        <family val="1"/>
      </rPr>
      <t>Caso identifique-se alguma restrição faz-se necessário quantificar o impacto para então recalcular os parâmetros de demanda apresentados anteriormente (demanda de passageiros, movimentos, carga e demandas de pico)</t>
    </r>
    <r>
      <rPr>
        <sz val="11"/>
        <rFont val="Times New Roman"/>
        <family val="1"/>
      </rPr>
      <t>".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t>
    </r>
    <r>
      <rPr>
        <i/>
        <sz val="11"/>
        <rFont val="Times New Roman"/>
        <family val="1"/>
      </rPr>
      <t>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t>
    </r>
    <r>
      <rPr>
        <sz val="11"/>
        <rFont val="Times New Roman"/>
        <family val="1"/>
      </rPr>
      <t xml:space="preserve">". No entanto, considera-se essa informação insuficiente.
Seção 7.4 - Não explicita a taxa de conexão do aeroporto resultante da metodologia apresentada. 
</t>
    </r>
  </si>
  <si>
    <r>
      <t>Em relação aos efeitos da restrição à ciculação populacional, os estudos trazem as seguintes afirmações: "</t>
    </r>
    <r>
      <rPr>
        <i/>
        <sz val="11"/>
        <rFont val="Times New Roman"/>
        <family val="1"/>
      </rPr>
      <t>Considera-se recuperação gradual da circulação, ainda com restrições parciais durante 2021. Após esse período, a perspectiva é de flexibilização da maior parte das medidas restritivas, possibilitando a retomada do tráfego doméstico de forma sustentada</t>
    </r>
    <r>
      <rPr>
        <sz val="11"/>
        <rFont val="Times New Roman"/>
        <family val="1"/>
      </rPr>
      <t>" e "</t>
    </r>
    <r>
      <rPr>
        <i/>
        <sz val="11"/>
        <rFont val="Times New Roman"/>
        <family val="1"/>
      </rPr>
      <t>Considerando o horizonte da concessão, tem-se que os efeitos da restrição à circulação populacional sobre o tráfego aéreo doméstico brasileiro deixariam de ser sentidos já no início de 2022, o que não afetaria a demanda no período em destaque da concessão</t>
    </r>
    <r>
      <rPr>
        <sz val="11"/>
        <rFont val="Times New Roman"/>
        <family val="1"/>
      </rPr>
      <t>".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trismestre), pois alguns indicam tendência reversa, ou perda de força na recuperação, de forma a qualificar a análise.
Análises de Aviação Geral basicamente a nível nacional, sem detalhar as características do segmento de cada aeroporto.
Variações sazonais foram trabalhadas de forma simplificada.
O estudo tende a conduzir diversas análises exclusivamente sob a ótica da demanda, sem observar que determinados drivers se devem à oferta. algumas observações do relatório indicam esta percepção, como: “</t>
    </r>
    <r>
      <rPr>
        <i/>
        <sz val="11"/>
        <rFont val="Times New Roman"/>
        <family val="1"/>
      </rPr>
      <t>Conforme observado na Figura 2-6, houve crescimento na quantidade de passageiros por movimento comercial (regular e não regular), o que foi possível pelo uso de aviões maiores nas rotas operadas em SBSN. Tal comportamento está alinhado à tendência observada de modernização da frota utilizada pelas companhias aéreas no Brasil e no mundo, conforme trata o capítulo 8</t>
    </r>
    <r>
      <rPr>
        <sz val="1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t>
    </r>
  </si>
  <si>
    <t xml:space="preserve">Fator "Pontualidade" utiliza como indicadores os voos atrasados e os voos pontuais, obtidos por meio do VRA. No entanto, não especifica qual o conceito de atraso utilizado para a quantificação de voos.
Na medida em que a competição intermodal considera no modelo as variáveis tempo e custos de deslocamento, em função dos custos com combustível e pedágio, conclui-se que o estudo analisa a competição intermodal apenas com transporte particular. O modelo não parece refletir competição intermodal com outros meios de transporte. 
Não especificou a fonte e a metodologia para estabelecimento dos preços médios de combustível por estado, utilizado na variável independente "gasto com combustível" no cálculo do custo de transporte não aéreo (competição intermodal).
Regressão logística da Análise de Competição Intermodal considera as viagens aéreas e não aéreas a partir de 400 Km (seção 6.4.1), classificadas como potenciais para se transformar em aéreas. No entanto, não há referências para o estabelecimento deste parâmetro de distância.
Ao mencionar que o crescimento da demanda não aérea é projetado por meio de uma regressão linear entre o índice ABCR e o PIB brasileiro, a forma funcional do modelo não é apresentada.
Não cita o aeroporto de Itaituba (SBIH) na competição intramodal (coeficientes do modelo intramodal) sem apresentar justificativas.
</t>
  </si>
  <si>
    <r>
      <t>Seção 8.3 - Definição dos gatilhos para criação de rotas diretas e retomada das rotas existentes antes da pandemia. Metodologia para criação de novas rotas domésticas (8.3.1) e internacionais (8.3.2) utiliza como um dos parâmetros voos por semana por classe de aeronave. Não há qualquer referência que suporte o estabelecimento de tais parâmetros.
Seção 9.2.2.4 e Seção 13 - No que compete à projeção de aeronaves cargueiras no aeroporto, o relatório assume a seguinte premissa: "</t>
    </r>
    <r>
      <rPr>
        <i/>
        <sz val="11"/>
        <rFont val="Times New Roman"/>
        <family val="1"/>
      </rPr>
      <t>O Aeroporto não recebeu fluxo relevante de aeronaves cargueiras nos últimos anos, e tampouco se vislumbra, no horizonte da concessão, algum fator que altere o modo de transporte das cargas aéreas</t>
    </r>
    <r>
      <rPr>
        <sz val="11"/>
        <rFont val="Times New Roman"/>
        <family val="1"/>
      </rPr>
      <t>". Da mesma forma, afirma na seção que analisa a inserção do aeroporto na malha aérea: "</t>
    </r>
    <r>
      <rPr>
        <i/>
        <sz val="11"/>
        <rFont val="Times New Roman"/>
        <family val="1"/>
      </rPr>
      <t>Cabe ressaltar que o aeroporto não possui rotas de aeronaves cargueiros e não se prevê alteração dessa dinâmica ao longo do horizonte de concessão, conforme item 9</t>
    </r>
    <r>
      <rPr>
        <sz val="11"/>
        <rFont val="Times New Roman"/>
        <family val="1"/>
      </rPr>
      <t>". Entende-se como uma simplificação assumir tal premissa para um período de 30 anos, sem mostrar ao leitor que se estudou as dinâmicas mercadológicas locais, a fim de tentar identificar possíveis migrações de carga em tal período, ou mesmo para sustentar que na matriz produtora local a produção não seria típica para escoamento por via aérea. Não se identificou tais levantamentos também na seção de competição intra e intermodal, que apenas estudou a divisão modal ou a falta de identificação de volumes de importação/exportação aérea nos últimos anos. Na seção 4.2.2 afirmam: "</t>
    </r>
    <r>
      <rPr>
        <i/>
        <sz val="11"/>
        <rFont val="Times New Roman"/>
        <family val="1"/>
      </rPr>
      <t>Portanto, não há definição de RI de carga internacional. Em relação às cargas domésticas, conforme apresentado no item 3.2.2, a RI se restringe ao entorno do Aeroporto, com competição pouco expressiva com outros aeroportos</t>
    </r>
    <r>
      <rPr>
        <sz val="11"/>
        <rFont val="Times New Roman"/>
        <family val="1"/>
      </rPr>
      <t xml:space="preserve">".
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Utilizam, para o critério de novas rotas para aeródromos da mesma UF, o nível de 24 movimentos anuais em 2019, sem justificar tecnicamente a escolha deste parâmetro.
Seção 7.2.3.2 - Trecho referente à utilidade de conectividade está cortado e faltando descrições.
Seção 7.4 - Gráfico da 'Curva de taxa de conexão em função do número de rotas' não apresentou a equação de ajuste da curva.
Informa que a projeção do load factor estaria limitada ao valor projetado nos EUA para o ano de 2040 (86,9%). No entanto, os valores projetados nos gráficos Load factor médio doméstico por classe de envergadura e velocidade de aproximação e Load factor médio internacional por classe de envergadura e velocidade de aproximação não obedecem a tal patamar.
A afirmação de que o movimento de carga aérea doméstica no aeroporto acompanha o movimento de aeronaves comerciais de passageiros (para justificar a adoção do parâmetro de kg/movimentos) poderia ser ilustrada por meio de gráfico contendo as duas séries históricas (eixo principal e secundário).
</t>
    </r>
  </si>
  <si>
    <r>
      <t>Seção 7.1.2 - "</t>
    </r>
    <r>
      <rPr>
        <i/>
        <sz val="11"/>
        <rFont val="Times New Roman"/>
        <family val="1"/>
      </rPr>
      <t>Com relação às defasagens111, elas foram contempladas para PIB, tarifa aérea e yield, tanto para abrangência nacional como regional (Sudeste e RI), utilizando-se de inteligência conferida pelo relatório Brasil Que Voa (BQV), da SAC/MI, que contém informações de origem e destino real, entre outras, para 2014.</t>
    </r>
    <r>
      <rPr>
        <sz val="11"/>
        <rFont val="Times New Roman"/>
        <family val="1"/>
      </rPr>
      <t>" Utilizaram o mesmo parágrafo para todos os relatórios sem atualizar a região.
Seção 7.2.2.1 - Tabela 7-13: Perfil de antecedência de compra de passagens considerado para o Aeroporto. Tal tabela se refere ao perfil da RI e não do Aeroporto.
Seção 7.2.3.2 - "</t>
    </r>
    <r>
      <rPr>
        <i/>
        <sz val="1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rFont val="Times New Roman"/>
        <family val="1"/>
      </rPr>
      <t>". No entanto, a seção não fornece o market share do aeroporto na RI. Apenas os passageiros ganhos/perdidos em função da competição intramodal.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rFont val="Times New Roman"/>
        <family val="1"/>
      </rPr>
      <t>Caso identifique-se alguma restrição faz-se necessário quantificar o impacto para então recalcular os parâmetros de demanda apresentados anteriormente (demanda de passageiros, movimentos, carga e demandas de pico)</t>
    </r>
    <r>
      <rPr>
        <sz val="11"/>
        <rFont val="Times New Roman"/>
        <family val="1"/>
      </rPr>
      <t>".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t>
    </r>
    <r>
      <rPr>
        <i/>
        <sz val="11"/>
        <rFont val="Times New Roman"/>
        <family val="1"/>
      </rPr>
      <t>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t>
    </r>
    <r>
      <rPr>
        <sz val="11"/>
        <rFont val="Times New Roman"/>
        <family val="1"/>
      </rPr>
      <t xml:space="preserve">". No entanto, considera-se essa informação insuficiente.
Construção do modelo informa a opção pelo método dos mínimos quadrados generalizados (MQG) para corrigir o problema da autocorrelação dos resíduos. No entanto, não deixou claro se o problema da heterocedasticidade dos resíduos também foi solucionado
Seção 7.4 - Não explicita a taxa de conexão do aeroporto resultante da metodologia apresentada.
</t>
    </r>
  </si>
  <si>
    <r>
      <t>O Relatório recorre constantemente e excessivamente à consideração de que indicadores calculados pelos dados de 2019 seriam constantes para todo o horizonte da concessão (30 anos).
Argumentação insuficiente para prever que não haverá movimentos cargueiros no futuro: pela não observação de tal tipo de movimentos na série histórica e nem de condições que façam supor mudança neste cenário.
Seção 10.6 - A análise do histórico de pax/movimento informa (texto padrão) "relativa estabilidade" em séries históricas que, por muitas vezes, possuem variações significativas.
Seção 10.5.3.2 - Os percentuais de aeronaves alocadas entre área de estadia e manobra não fecha 100%. "</t>
    </r>
    <r>
      <rPr>
        <i/>
        <sz val="11"/>
        <rFont val="Times New Roman"/>
        <family val="1"/>
      </rPr>
      <t xml:space="preserve">A análise histórica permite identificar que não houve variação significativa desse parâmetro ao longo do tempo e, para o Aeroporto, adotou-se para a projeção o valor médio observado em 2019. Para as aeronaves domésticas de AVG 9% tiveram sua permanência em áreas de manobra 81% em áreas de estadia".
</t>
    </r>
  </si>
  <si>
    <t xml:space="preserve">Dados de alcance máximo do sistema de pistas menciona aeronaves típicas de passageiros para o aeroporto não identificadas no relatório de Engenharia e Afins.
</t>
  </si>
  <si>
    <r>
      <t>Em relação aos efeitos da restrição à ciculação populacional, os estudos trazem as seguintes afirmações: "</t>
    </r>
    <r>
      <rPr>
        <i/>
        <sz val="11"/>
        <color theme="1"/>
        <rFont val="Times New Roman"/>
        <family val="1"/>
      </rPr>
      <t>Considera-se recuperação gradual da circulação, ainda com restrições parciais durante 2021. Após esse período, a perspectiva é de flexibilização da maior parte das medidas restritivas, possibilitando a retomada do tráfego doméstico de forma sustentada</t>
    </r>
    <r>
      <rPr>
        <sz val="11"/>
        <color theme="1"/>
        <rFont val="Times New Roman"/>
        <family val="1"/>
      </rPr>
      <t>" e "</t>
    </r>
    <r>
      <rPr>
        <i/>
        <sz val="11"/>
        <color theme="1"/>
        <rFont val="Times New Roman"/>
        <family val="1"/>
      </rPr>
      <t>Considerando o horizonte da concessão, tem-se que os efeitos da restrição à circulação populacional sobre o tráfego aéreo doméstico brasileiro deixariam de ser sentidos já no início de 2022, o que não afetaria a demanda no período em destaque da concessão</t>
    </r>
    <r>
      <rPr>
        <sz val="11"/>
        <color theme="1"/>
        <rFont val="Times New Roman"/>
        <family val="1"/>
      </rPr>
      <t>".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trismestre), pois alguns indicam tendência reversa, ou perda de força na recuperação, de forma a qualificar a análise. 
Análises de Aviação Geral basicamente a nível nacional, sem detalhar as características do segmento de cada aeroporto.
Variações sazonais foram trabalhadas de forma simplificada.
O estudo tende a conduzir diversas análises exclusivamente sob a ótica da demanda, sem observar que determinados drivers se devem à oferta. Algumas observações do relatório indicam esta percepção, como: “</t>
    </r>
    <r>
      <rPr>
        <i/>
        <sz val="11"/>
        <color theme="1"/>
        <rFont val="Times New Roman"/>
        <family val="1"/>
      </rPr>
      <t>Conforme observado na Figura 2-6, houve crescimento na quantidade de passageiros por movimento comercial (regular e não regular), o que foi possível pelo uso de aviões maiores nas rotas operadas em SBMA. Tal comportamento está alinhado à tendência observada de modernização da frota utilizada pelas companhias aéreas no Brasil e no mundo, conforme trata o capítulo 8</t>
    </r>
    <r>
      <rPr>
        <sz val="11"/>
        <color theme="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t>
    </r>
  </si>
  <si>
    <t xml:space="preserve">Fator "Pontualidade" utiliza como indicadores os voos atrasados e os voos pontuais, obtidos por meio do VRA. No entanto, não especifica qual o conceito de atraso utilizado para a quantificação de voos.
Na medida em que a competição intermodal considera no modelo as variáveis tempo e custos de deslocamento, em função dos custos com combustível e pedágio, conclui-se que o estudo analisa a competição intermodal apenas com transporte particular. O modelo não parece refletir competição intermodal com outros meios de transporte. 
Não especificou a fonte e a metodologia para estabelecimento dos preços médios de combustível por estado, utilizado na variável independente "gasto com combustível" no cálculo do custo de transporte não aéreo (competição intermodal).
Regressão logística da Análise de Competição Intermodal considera as viagens aéreas e não aéreas a partir de 400 Km (seção 6.4.1), classificadas como potenciais para se transformar em aéreas. No entanto, não há referências para o estabelecimento deste parâmetro de distância.
Ao mencionar que o crescimento da demanda não aérea é projetado por meio de uma regressão linear entre o índice ABCR e o PIB brasileiro, a forma funcional do modelo não é apresentada.
Cita, na parte introdutória, oito aeroportos na RI. Contudo, a seção de análise da competição intramodal estabelece apenas Carajás (SBCJ) como competidor. Não cita o aeroporto de Carajás (SBCJ) nos coeficientes do modelo intramodal, sem apresentar justificativas.
</t>
  </si>
  <si>
    <r>
      <t>Seção 7.1.2 - "</t>
    </r>
    <r>
      <rPr>
        <i/>
        <sz val="11"/>
        <rFont val="Times New Roman"/>
        <family val="1"/>
      </rPr>
      <t>Com relação às defasagens111, elas foram contempladas para PIB, tarifa aérea e yield, tanto para abrangência nacional como regional (Sudeste e RI), utilizando-se de inteligência conferida pelo relatório Brasil Que Voa (BQV), da SAC/MI, que contém informações de origem e destino real, entre outras, para 2014</t>
    </r>
    <r>
      <rPr>
        <sz val="11"/>
        <rFont val="Times New Roman"/>
        <family val="1"/>
      </rPr>
      <t>" Utilizaram o mesmo parágrafo para todos os relatórios sem atualizar a região.
Seção 7.2.2.1 - Tabela 7-13: Perfil de antecedência de compra de passagens considerado para o Aeroporto. Tal tabela se refere ao perfil da RI e não do Aeroporto.
Seção 7.2.3.2 - "</t>
    </r>
    <r>
      <rPr>
        <i/>
        <sz val="1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rFont val="Times New Roman"/>
        <family val="1"/>
      </rPr>
      <t>". No entanto, a seção não fornece o market share do aeroporto na RI. Apenas os passageiros ganhos/perdidos em função da competição intramodal.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rFont val="Times New Roman"/>
        <family val="1"/>
      </rPr>
      <t>Caso identifique-se alguma restrição faz-se necessário quantificar o impacto para então recalcular os parâmetros de demanda apresentados anteriormente (demanda de passageiros, movimentos, carga e demandas de pico)</t>
    </r>
    <r>
      <rPr>
        <sz val="11"/>
        <rFont val="Times New Roman"/>
        <family val="1"/>
      </rPr>
      <t>".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t>
    </r>
    <r>
      <rPr>
        <i/>
        <sz val="11"/>
        <rFont val="Times New Roman"/>
        <family val="1"/>
      </rPr>
      <t>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t>
    </r>
    <r>
      <rPr>
        <sz val="11"/>
        <rFont val="Times New Roman"/>
        <family val="1"/>
      </rPr>
      <t xml:space="preserve">". No entanto, considera-se essa informação insuficiente.
Seção 7.4 - Não explicita a taxa de conexão do aeroporto resultante da metodologia apresentada. 
</t>
    </r>
  </si>
  <si>
    <t xml:space="preserve">O Relatório recorre constantemente e excessivamente à consideração de que indicadores calculados pelos dados de 2019 seriam constantes para todo o horizonte da concessão (30 anos).
Argumentação insuficiente para prever que não haverá movimentos cargueiros no futuro: pela não observação de tal tipo de movimentos na série histórica e nem de condições que façam supor mudança neste cenário.
Seção 10.6 - A análise do histórico de pax/movimento informa (texto padrão) "relativa estabilidade" em séries históricas que, por muitas vezes, possuem variações significativas.
</t>
  </si>
  <si>
    <t xml:space="preserve">Os agrupamentos de apresentação dos resultados da demanda estão confusos. Por vezes, o relatório apresenta como comercial os movimentos regulares e não regulares (passageiros e cargas), e em outros momentos agrega AVG aos movimentos não regulares (o que mistura aviação particular com aviação de serviços aéreos públicos, ou mesmo classes tarifárias distintas - Grupos I e II). Como exemplo, na projeção de movimentos não-regulares, o Consórcio parece classificar o movimento de AVG como não-regular. Contudo, não fica claro ao leitor de que forma tais classificações implicam no cálculo, podendo levar à conclusão de superestimação caso sejam considerados os movimentos de aviação geral (ainda que de forma total ou parcial, considerando apenas taxi aéreo).
Não foi apresentada a projeção da média de assentos ofertados por voo e por classe de envergadura e velocidade de aproximação para os movimentos internacionais. Desse modo, para algumas classes de aeronaves, não é possível rastrear a média de assentos ofertados e, consequentemente, a base de cálculo utilizada na projeção de passageiros por movimento internacional em cada uma dessas classes.
Modelo ARIMA projetou indicador de kg/movimento para carga doméstica de porão em aeronaves comerciais de passageiros. No entanto, valor parece estar incompatível com a tendência histórica e retorna (ao ser multiplicado pelos movimentos correspondentes) projeções abaixo da movimentação de carga observada recentemente.
</t>
  </si>
  <si>
    <r>
      <t>Em relação aos efeitos da restrição à ciculação populacional, os estudos trazem as seguintes afirmações: "Considera-se recuperação gradual da circulação, ainda com restrições parciais durante 2021. Após esse período, a perspectiva é de flexibilização da maior parte das medidas restritivas, possibilitando a retomada do tráfego doméstico de forma sustentada." e "Considerando o horizonte da concessão, tem-se que os efeitos da restrição à circulação populacional sobre o tráfego aéreo doméstico brasileiro deixariam de ser sentidos já no início de 2022, o que não afetaria a demanda no período em destaque da concessão.".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trismestre), pois alguns indicam tendência reversa, ou perda de força na recuperação, de forma a qualificar a análise. 
Análises de Aviação Geral basicamente a nível nacional, sem detalhar as características do segmento de cada aeroporto.
Variações sazonais foram trabalhadas de forma simplificada.
O estudo tende a conduzir diversas análises exclusivamente sob a ótica da demanda, sem observar que determinados drivers se devem à oferta. Algumas observações do relatório indicam esta percepção, como: “</t>
    </r>
    <r>
      <rPr>
        <i/>
        <sz val="11"/>
        <color theme="1"/>
        <rFont val="Times New Roman"/>
        <family val="1"/>
      </rPr>
      <t>Conforme observado na Figura 2-6, houve crescimento na quantidade de passageiros por movimento comercial (regular e não regular), o que foi possível pelo uso de aviões maiores nas rotas operadas em SBCJ. Tal comportamento está alinhado à tendência observada de modernização da frota utilizada pelas companhias aéreas no Brasil e no mundo, conforme trata o capítulo 8</t>
    </r>
    <r>
      <rPr>
        <sz val="11"/>
        <color theme="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t>
    </r>
  </si>
  <si>
    <t xml:space="preserve">No caso da demanda de pico de ocupação de estacionamento de veículos, considerou-se que o relatório dispôs de excessivas simplificações metodológicas, assim como não detalhou metodologia de projeção de estacionamento mensalista/isento.
Não considerou na projeção de pico de estacionamento a evolução e as tendências das formas de acesso ao aeroporto que poderão mudar a dinâmica da demanda por vagas.
Erro no empilhamento/representação das séries de embarque e desembarque.
Valores de pico de aeronaves não condizentes com os da tabela 11.6.4. Principalmente cargueiros (4 movimentos em uma hora pico).
</t>
  </si>
  <si>
    <t xml:space="preserve">Seção I - Presença constante de imagens de baixa qualidade, por vezes impossibilitando a captura da informação.
Seção I - Premissas assumidas para formulação da Região de Influência de aviação geral com poucas referências técnicas.
Conflito entre informações da distância do aeroporto ao centro da cidade.
</t>
  </si>
  <si>
    <r>
      <t>Em relação aos efeitos da restrição à ciculação populacional, os estudos trazem as seguintes afirmações: "</t>
    </r>
    <r>
      <rPr>
        <i/>
        <sz val="11"/>
        <color theme="1"/>
        <rFont val="Times New Roman"/>
        <family val="1"/>
      </rPr>
      <t>Considera-se recuperação gradual da circulação, ainda com restrições parciais durante 2021. Após esse período, a perspectiva é de flexibilização da maior parte das medidas restritivas, possibilitando a retomada do tráfego doméstico de forma sustentada</t>
    </r>
    <r>
      <rPr>
        <sz val="11"/>
        <color theme="1"/>
        <rFont val="Times New Roman"/>
        <family val="1"/>
      </rPr>
      <t>" e "</t>
    </r>
    <r>
      <rPr>
        <i/>
        <sz val="11"/>
        <color theme="1"/>
        <rFont val="Times New Roman"/>
        <family val="1"/>
      </rPr>
      <t>Considerando o horizonte da concessão, tem-se que os efeitos da restrição à circulação populacional sobre o tráfego aéreo doméstico brasileiro deixariam de ser sentidos já no início de 2022, o que não afetaria a demanda no período em destaque da concessão</t>
    </r>
    <r>
      <rPr>
        <sz val="11"/>
        <color theme="1"/>
        <rFont val="Times New Roman"/>
        <family val="1"/>
      </rPr>
      <t>".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trismestre), pois alguns indicam tendência reversa, ou perda de força na recuperação, de forma a qualificar a análise. 
Análises de Aviação Geral basicamente a nível nacional, sem detalhar as características do segmento de cada aeroporto.
Variações sazonais foram trabalhadas de forma simplificada.
O estudo tende a conduzir diversas análises exclusivamente sob a ótica da demanda, sem observar que determinados drivers se devem à oferta. Algumas observações do relatório indicam esta percepção, como: “</t>
    </r>
    <r>
      <rPr>
        <i/>
        <sz val="11"/>
        <color theme="1"/>
        <rFont val="Times New Roman"/>
        <family val="1"/>
      </rPr>
      <t>Conforme observado na Figura 2-6, houve crescimento na quantidade de passageiros por movimento comercial (regular e não regular), o que foi possível pelo uso de aviões maiores nas rotas operadas em SBHT. Tal comportamento está alinhado à tendência observada de modernização da frota utilizada pelas companhias aéreas no Brasil e no mundo, conforme trata o capítulo 8</t>
    </r>
    <r>
      <rPr>
        <sz val="11"/>
        <color theme="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t>
    </r>
  </si>
  <si>
    <r>
      <t>Seção 8.3 - Definição dos gatilhos para criação de rotas diretas e retomada das rotas existentes antes da pandemia. Metodologia para criação de novas rotas domésticas (8.3.1) e internacionais (8.3.2) utiliza como um dos parâmetros voos por semana por classe de aeronave. Não há qualquer referência que suporte o estabelecimento de tais parâmetros.
&gt; Seção 9.2.2.4 e Seção 13 - No que compete à projeção de aeronaves cargueiras no aeroporto, o relatório assume a seguinte premissa: "</t>
    </r>
    <r>
      <rPr>
        <i/>
        <sz val="11"/>
        <color theme="1"/>
        <rFont val="Times New Roman"/>
        <family val="1"/>
      </rPr>
      <t>O Aeroporto não recebeu fluxo relevante de aeronaves cargueiras nos últimos anos, e tampouco se vislumbra, no horizonte da concessão, algum fator que altere o modo de transporte das cargas aéreas</t>
    </r>
    <r>
      <rPr>
        <sz val="11"/>
        <color theme="1"/>
        <rFont val="Times New Roman"/>
        <family val="1"/>
      </rPr>
      <t>". Da mesma forma, afirma na seção que analisa a inserção do aeroporto na malha aérea: "</t>
    </r>
    <r>
      <rPr>
        <i/>
        <sz val="11"/>
        <color theme="1"/>
        <rFont val="Times New Roman"/>
        <family val="1"/>
      </rPr>
      <t>Cabe ressaltar que o aeroporto não possui rotas de aeronaves cargueiros e não se prevê alteração dessa dinâmica ao longo do horizonte de concessão, conforme item 9</t>
    </r>
    <r>
      <rPr>
        <sz val="11"/>
        <color theme="1"/>
        <rFont val="Times New Roman"/>
        <family val="1"/>
      </rPr>
      <t>". Entende-se como uma simplificação assumir tal premissa para um período de 30 anos, sem mostrar ao leitor que se estudou as dinâmicas mercadológicas locais, a fim de tentar identificar possíveis migrações de carga em tal período, ou mesmo para sustentar que na matriz produtora local a produção não seria típica para escoamento por via aérea. Não se identificou tais levantamentos também na seção de competição intra e intermodal, que apenas estudou a divisão modal ou a falta de identificação de volumes de importação/exportação aérea nos últimos anos. Na seção 4.2.2 afirmam: "</t>
    </r>
    <r>
      <rPr>
        <i/>
        <sz val="11"/>
        <color theme="1"/>
        <rFont val="Times New Roman"/>
        <family val="1"/>
      </rPr>
      <t>Portanto, não há definição de RI de carga internacional. Em relação às cargas domésticas, conforme apresentado no item 3.2.2, a RI se restringe ao entorno do Aeroporto, com competição pouco expressiva com outros aeroportos</t>
    </r>
    <r>
      <rPr>
        <sz val="11"/>
        <color theme="1"/>
        <rFont val="Times New Roman"/>
        <family val="1"/>
      </rPr>
      <t xml:space="preserve">".
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Utilizam, para o critério de novas rotas para aeródromos da mesma UF, o nível de 24 movimentos anuais em 2019, sem justificar tecnicamente a escolha deste parâmetro.
Seção 7.4 - Gráfico da 'Curva de taxa de conexão em função do número de rotas' não apresentou a equação de ajuste da curva.
Informa que a projeção do load factor estaria limitada ao valor projetado nos EUA para o ano de 2040 (86,9%). No entanto, os valores projetados nos gráficos Load factor médio doméstico por classe de envergadura e velocidade de aproximação e Load factor médio internacional por classe de envergadura e velocidade de aproximação não obedecem a tal patamar.
A afirmação de que o movimento de carga aérea doméstica no aeroporto acompanha o movimento de aeronaves comerciais de passageiros (para justificar a adoção do parâmetro de kg/movimentos) poderia ser ilustrada por meio de gráfico contendo as duas séries históricas (eixo principal e secundário).
</t>
    </r>
  </si>
  <si>
    <r>
      <t>Seção 7.1.2 - "</t>
    </r>
    <r>
      <rPr>
        <i/>
        <sz val="11"/>
        <rFont val="Times New Roman"/>
        <family val="1"/>
      </rPr>
      <t>Com relação às defasagens111, elas foram contempladas para PIB, tarifa aérea e yield, tanto para abrangência nacional como regional (Sudeste e RI), utilizando-se de inteligência conferida pelo relatório Brasil Que Voa (BQV), da SAC/MI, que contém informações de origem e destino real, entre outras, para 2014</t>
    </r>
    <r>
      <rPr>
        <sz val="11"/>
        <rFont val="Times New Roman"/>
        <family val="1"/>
      </rPr>
      <t>". Utilizaram o mesmo parágrafo para todos os relatórios sem atualizar a região.
Seção 7.2.2.1 - Tabela 7-13: Perfil de antecedência de compra de passagens considerado para o Aeroporto. Tal tabela se refere ao perfil da RI e não do Aeroporto.
Seção 7.2.3.2 - "</t>
    </r>
    <r>
      <rPr>
        <i/>
        <sz val="1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rFont val="Times New Roman"/>
        <family val="1"/>
      </rPr>
      <t>". No entanto, a seção não fornece o market share do aeroporto na RI. Apenas os passageiros ganhos/perdidos em função da competição intramodal.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rFont val="Times New Roman"/>
        <family val="1"/>
      </rPr>
      <t>Caso identifique-se alguma restrição faz-se necessário quantificar o impacto para então recalcular os parâmetros de demanda apresentados anteriormente (demanda de passageiros, movimentos, carga e demandas de pico)</t>
    </r>
    <r>
      <rPr>
        <sz val="11"/>
        <rFont val="Times New Roman"/>
        <family val="1"/>
      </rPr>
      <t xml:space="preserve">".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 No entanto, considera-se essa informação insuficiente.
Seção 7.4 - Não explicita a taxa de conexão do aeroporto resultante da metodologia apresentada. 
</t>
    </r>
  </si>
  <si>
    <t xml:space="preserve">Seção I - Presença constante de imagens de baixa qualidade, por vezes impossibilitando a captura da informação.
Seção I - Premissas assumidas para formulação da Região de Influência de aviação geral com poucas referências técnicas.
RI de Importação e Exportação:  O estudo considera, para formulação da RI de cargas importadas e exportadas, todas as importações/exportações de SBGR, independentemente da origem/destino internacional da carga. Uma vez que restrições de infraestrutura (pista) limitam determinadas categorias de aeronave, entende-se pertinente considerar tal questão, apurando para cargas originadas/destinadas para aquelas localidades onde se previu atendimento a partir de SBSP. 
</t>
  </si>
  <si>
    <r>
      <t>Em relação aos efeitos da restrição à ciculação populacional, os estudos trazem as seguintes afirmações: "</t>
    </r>
    <r>
      <rPr>
        <i/>
        <sz val="11"/>
        <color theme="1"/>
        <rFont val="Times New Roman"/>
        <family val="1"/>
      </rPr>
      <t>Considera-se recuperação gradual da circulação, ainda com restrições parciais durante 2021. Após esse período, a perspectiva é de flexibilização da maior parte das medidas restritivas, possibilitando a retomada do tráfego doméstico de forma sustentada</t>
    </r>
    <r>
      <rPr>
        <sz val="11"/>
        <color theme="1"/>
        <rFont val="Times New Roman"/>
        <family val="1"/>
      </rPr>
      <t>" e "</t>
    </r>
    <r>
      <rPr>
        <i/>
        <sz val="11"/>
        <color theme="1"/>
        <rFont val="Times New Roman"/>
        <family val="1"/>
      </rPr>
      <t>Considerando o horizonte da concessão, tem-se que os efeitos da restrição à circulação populacional sobre o tráfego aéreo doméstico brasileiro deixariam de ser sentidos já no início de 2022, o que não afetaria a demanda no período em destaque da concessão</t>
    </r>
    <r>
      <rPr>
        <sz val="11"/>
        <color theme="1"/>
        <rFont val="Times New Roman"/>
        <family val="1"/>
      </rPr>
      <t>".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trismestre), pois alguns indicam tendência reversa, ou perda de força na recuperação, de forma a qualificar a análise. 
Análises de Aviação Geral basicamente a nível nacional, sem detalhar as características do segmento de cada aeroporto.
Variações sazonais foram trabalhadas de forma simplificada.
O estudo tende a conduzir diversas análises exclusivamente sob a ótica da demanda, sem observar que determinados drivers se devem à oferta. Algumas observações do relatório indicam esta percepção, como: “</t>
    </r>
    <r>
      <rPr>
        <i/>
        <sz val="11"/>
        <color theme="1"/>
        <rFont val="Times New Roman"/>
        <family val="1"/>
      </rPr>
      <t>Conforme observado na Figura 2-6, houve crescimento na quantidade de passageiros por movimento comercial (regular e não regular), o que foi possível pelo uso de aviões maiores nas rotas operadas em SBSP. Tal comportamento está alinhado à tendência observada de modernização da frota utilizada pelas companhias aéreas no Brasil e no mundo, conforme trata o capítulo 8</t>
    </r>
    <r>
      <rPr>
        <sz val="11"/>
        <color theme="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Poderia ter fornecido o dado de conexão internacional dividindo o share entre Guarulhos, Viracopos e opções de fora da RI. 
</t>
    </r>
  </si>
  <si>
    <t xml:space="preserve">Fator "Pontualidade" utiliza como indicadores os voos atrasados e os voos pontuais, obtidos por meio do VRA. No entanto, não especifica qual o conceito de atraso utilizado para a quantificação de voos. 
Na medida em que a competição intermodal considera no modelo as variáveis tempo e custos de deslocamento, em função dos custos com combustível e pedágio, conclui-se que o estudo analisa a competição intermodal apenas com transporte particular. O modelo não parece refletir competição intermodal com outros meios de transporte. 
Não especificou a fonte e a metodologia para estabelecimento dos preços médios de combustível por estado, utilizado na variável independente "gasto com combustível" no cálculo do custo de transporte não aéreo (competição intermodal). 
Regressão logística da Análise de Competição Intermodal considera as viagens aéreas e não aéreas a partir de 400 Km (seção 6.4.1), classificadas como potenciais para se transformar em aéreas. No entanto, não há referências para o estabelecimento deste parâmetro de distância. 
Ao mencionar que o crescimento da demanda não aérea é projetado por meio de uma regressão linear entre o índice ABCR e o PIB brasileiro, a forma funcional do modelo não é apresentada.
Sobre a consideração da competição intramodal nos fluxos do aeroporto, verifica-se que há uma diferenciação da metodologia adotada para os perfis de passageiros doméstico e internacional, a qual não é justificada ao longo do Relatório. 
Competição Intramodal não inclui na Tabela 6-4 o coeficiente do modelo intramodal de SBAE (Bauru), nem informa se esse coeficiente foi utilizado como referência. 
Na análise de competição intermodal de cargas internacionais, o Consórcio afirma que os fluxos de importação e exportação de cargas em SBGR (aeroporto utilizado como base de comparação) representaram apenas 2% da movimentação total do Porto de Santos em 2019, o que não seria suficiente para gerar pressão competitiva entre os referidos modais. Entretanto, o estudo não apresenta qual foi o critério adotado para afirmar que essa participação de 2% não terá impacto sobre a futura movimentação de cargas internacionais no aeroporto. A apresentação do critério utilizado é necessária para dar embasamento técnico aos resultados apresentados, mesmo que, no caso de SBGR, a movimentação de cargas não seja a vocação prevista para o aeroporto.
</t>
  </si>
  <si>
    <t xml:space="preserve">Metodologia de desenvolvimento do modelo de negócios de serviços aéreos (especialmente novas rotas) estuda apenas pela ótica da demanda, não considerando o da oferta. Estabelecer gatilhos com base na opção do passageiro (calculado em 72%, com base no estudo de dados a nível Brasil) para transformar rotas indiretas em novas rotas diretas no aeroporto ignora as estratégias de malha dos ofertantes (empresas aéreas). Não há também avaliação da factibilidade deste desenvolvimento na prática, já que muitos dos aeroportos avaliados criam muitas rotas diretas antes mesmo do início da concessão (2023). Não há uma avaliação do ponto de vista do estoque de aeronaves e tripulantes disponíveis. Fatores que poderiam ser ajustados no médio ou longo prazo, mas dificilmente possuem capacidade para acompanhar tal ritmo no curto prazo. Desta forma, considerando a metodologia sob a ótica do conjunto de aeroportos infere-se que a malha aérea brasileira caminharia no sentido de ligações ponto a ponto, perdendo aos poucos as características de hub-and-spoke. Contudo, entende-se que o desenvolvimento da malha aérea estaria mais ligado às estratégias comerciais das companhias aéreas em rede (que podem passar, em certa medida, por negociações com os operadores aeroportuários) do que centrar-se no comportamento da demanda de cada aeroporto individualmente.
Inconsistência entre o número de rotas domésticas criadas (Figura 13-4) e o número de destinos de passageiros domésticos conectados (20019 vs 2052) (Figura 13-10).
</t>
  </si>
  <si>
    <r>
      <t>Seção 8.3 - Definição dos gatilhos para criação de rotas diretas e retomada das rotas existentes antes da pandemia. Metodologia para criação de novas rotas domésticas (8.3.1) e internacionais (8.3.2) utiliza como um dos parâmetros voos por semana por classe de aeronave. Não há qualquer referência que suporte o estabelecimento de tais parâmetros.
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Utilizam, para o critério de novas rotas para aeródromos da mesma UF, o nível de 24 movimentos anuais em 2019, sem justificar tecnicamente a escolha deste parâmetro.
Seção 7.2.3.2 - Figura 7-14: Passageiros perdidos devido à projeção da competição intramodal. A figura se refere a passageiros ganhos e não passageiros perdidos.
Seção 9.3.1 - Para parametrização do modelo de projeção de cargas de importação/exportação, assumiu-se a seguinte premissa: "</t>
    </r>
    <r>
      <rPr>
        <i/>
        <sz val="11"/>
        <color theme="1"/>
        <rFont val="Times New Roman"/>
        <family val="1"/>
      </rPr>
      <t>Para a definição do modelo de projeção de cargas de importação optou-se por utilizar modelos de série temporal do tipo ARIMA, (explicados no item 6.2.1.2), com base no histórico do Aeroporto de Guarulhos apresentado no item 9.1.1.</t>
    </r>
    <r>
      <rPr>
        <sz val="11"/>
        <color theme="1"/>
        <rFont val="Times New Roman"/>
        <family val="1"/>
      </rPr>
      <t xml:space="preserve">". No entanto, Guarulhos movimentou cargas de importação/exportação provenientes de origens/destinos que não serão atendidos por SBSP. Desta forma, infere-se que pode haver viés no indicador.
Seção 7.4 - Gráfico da 'Curva de taxa de conexão em função do número de rotas' não apresentou a equação de ajuste da curva.
Informa que a projeção do load factor estaria limitada ao valor projetado nos EUA para o ano de 2040 (86,9%). No entanto, os valores projetados nos gráficos Load factor médio doméstico por classe de envergadura e velocidade de aproximação e Load factor médio internacional por classe de envergadura e velocidade de aproximação não obedecem a tal patamar.
A afirmação de que o movimento de carga aérea doméstica no aeroporto acompanha o movimento de aeronaves comerciais de passageiros (para justificar a adoção do parâmetro de kg/movimentos) poderia ser ilustrada por meio de gráfico contendo as duas séries históricas (eixo principal e secundário).
Tabela 9-5: Percentual de redução de tempo de operação referente a cada tipo de melhoria implementada. Não há embasamento para suportar a divisão percentual do tempo total previsto de redução entre os processos de implantação do Duimp e do Aumento de operadores OEA.
</t>
    </r>
  </si>
  <si>
    <r>
      <t>Seção 7.2.2.1 - Tabela 7-13: Perfil de antecedência de compra de passagens considerado para o Aeroporto. Tal tabela se refere ao perfil da RI e não do Aeroporto.
Seção 7.2.3.2 - "</t>
    </r>
    <r>
      <rPr>
        <i/>
        <sz val="11"/>
        <color theme="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color theme="1"/>
        <rFont val="Times New Roman"/>
        <family val="1"/>
      </rPr>
      <t>". No entanto, a seção não fornece o market share do aeroporto na RI. Apenas os passageiros ganhos/perdidos em função da competição intramodal.
Ajuste de passageiros domésticos em função de novas rotas internacionais não detalha a metodologia para se chegar ao resultado.
Na metodologia de projeção de tempo de permanência (manobra/estadia) de aeronaves internacionais para os Aeroportos de Santos Dumont e Congonhas, informam que não há parâmetros históricos, uma vez que os aeroportos não operam voos internacionais. Assim optam por adotar parâmetros iguais aos utilizados para os domésticos, justificando que preveem que as categorias das aeronaves a serem utilizadas nas novas rotas internacionais seriam as mesmas das domésticas. No entanto, entende-se que o driver de tempo de permanência de aeronaves estaria mais associado às características operacionais e estratégicas da natureza internacional do que à categoria de aeronave utilizada.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color theme="1"/>
        <rFont val="Times New Roman"/>
        <family val="1"/>
      </rPr>
      <t>Caso identifique-se alguma restrição faz-se necessário quantificar o impacto para então recalcular os parâmetros de demanda apresentados anteriormente (demanda de passageiros, movimentos, carga e demandas de pico)</t>
    </r>
    <r>
      <rPr>
        <sz val="11"/>
        <color theme="1"/>
        <rFont val="Times New Roman"/>
        <family val="1"/>
      </rPr>
      <t>".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t>
    </r>
    <r>
      <rPr>
        <i/>
        <sz val="11"/>
        <color theme="1"/>
        <rFont val="Times New Roman"/>
        <family val="1"/>
      </rPr>
      <t>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t>
    </r>
    <r>
      <rPr>
        <sz val="11"/>
        <color theme="1"/>
        <rFont val="Times New Roman"/>
        <family val="1"/>
      </rPr>
      <t xml:space="preserve">". No entanto, considera-se essa informação insuficiente.
A metodologia desenvolvida para criação de rotas internacionais guarda pontos de incompatibilidade com outras afirmações do próprio relatório ou de outros relatórios. Sobre isto, reproduz-se passagem da seção 4.2.1 (competição intramodal): "Conforme apresentado em diversos estudos setoriais74,75, uma série de fatores influenciam a escolha do aeroporto a ser utilizado por cada passageiro, tais como: o custo das tarifas aéreas, a frequência de voos, a facilidade de acesso terrestre e a motivação da viagem (visitas, lazer, negócios etc.), entre outros. Portanto, para verificar se aeroportos competem entre si não se deve observar apenas distâncias e tempos de transporte terrestre, mas também outros fatores e preferências dos passageiros76". Em seguida, na seção 4.2.1.1 afirmam: "Para os passageiros internacionais considera-se que a competição intramodal ocorre entre todos os aeroportos internacionais do Brasil, posto que a dinâmica de hub desses aeroportos permite que passageiros realizem conexões doméstico-internacionais e, portanto, capturem demanda de todo território nacionais e não apenas das localidades próximas." No caso específico da escolha do passageiro por um rota direta, caso fosse oferecida, afirma-se que "nem todos migrariam para uma rota direta caso fosse oferecida, uma vez que a escolha do passageiro envolve questões como frequência, preço, fidelidade com companhias aéreas, etc.". Em que pese o exposto, para a projeção de passageiros internacionais em rota direta, afirma que "Devido à proximidade terrestre com o Aeroporto de Guarulhos (aeroporto bem servido de rotas e elevada frequência de voos interacionais), os passageiros internacionais de SBSP ou pegam um voo internacional diretamente no aeroporto ou optam por embarcar diretamente em SBGR, inviabilizando a utilização da conexão doméstica internacional." Entende-se, desta forma, que foram ignorados os demais fatores anteriormente expostos, que poderiam fazer o passageiro continuar optando por uma conexão internacional em outros importantes HUBs internacionais do país.
Seção10.1 - Na descrição de base de dados da Infraero, informam bases de passageiros em conexão, o que indica um simples aproveitamento de texto da seção de passageiros regulares para a de aviação geral.
Seção 7.4 - Não explicita a taxa de conexão do aeroporto resultante da metodologia apresentada.
</t>
    </r>
  </si>
  <si>
    <t xml:space="preserve">O Relatório recorre constantemente e excessivamente à consideração de que indicadores calculados pelos dados de 2019 seriam constantes para todo o horizonte da concessão (30 anos).
Argumentação insuficiente para prever que não haverá movimentos cargueiros no futuro: pela não observação de tal tipo de movimentos na série histórica e nem de condições que façam supor mudança neste cenário.
A utilização da média histórica do volume de carga de exportação por decolagem em SBGR para rotas da América do Sul deveria indicar se foi avaliado, além das rotas internacionais previstas para o futuro, se o tipo de equipamento (capacidade de carga) que compôs a série histórica de carga de porão em aeronave comercial de passageiros (utilizada no modelo ARIMA para projeção do indicador futuro) estaria condizente com as eventuais restrições de peso nas operações futuras em SBSP (comprimento de pista). Relatório não deixa claro se essa avaliação foi executada.
Quando da projeção de demanda de passageiros domésticos no aeroporto, o relatório se baseia no crescimento populacional do IBGE para projetar população na RI/PIB per capita, que se consolida como uma das variáveis explicativas utilizadas no modelo. Poderia ter explorado o tema, apresentando ao leitor como se comporta a projeção da variável.
</t>
  </si>
  <si>
    <t xml:space="preserve">Os agrupamentos de apresentação dos resultados da demanda estão confusos. Por vezes, o relatório apresenta como comercial os movimentos regulares e não regulares (passageiros e cargas), e em outros momentos agrega AVG aos movimentos não regulares (o que mistura aviação particular com aviação de serviços aéreos públicos, ou mesmo classes tarifárias distintas - Grupos I e II). Como exemplo, na projeção de movimentos não-regulares, o Consórcio parece classificar o movimento de AVG como não-regular. Contudo, não fica claro ao leitor de que forma tais classificações implicam no cálculo, podendo levar à conclusão de superestimação caso sejam considerados os movimentos de aviação geral (ainda que de forma total ou parcial, considerando apenas taxi aéreo).
Não foi apresentada a projeção da média de assentos ofertados por voo e por classe de envergadura e velocidade de aproximação para os movimentos internacionais. Desse modo, para algumas classes de aeronaves, não é possível rastrear a média de assentos ofertados e, consequentemente, a base de cálculo utilizada na projeção de passageiros por movimento internacional em cada uma dessas classes.
Não motivou a escolha de SBKP como referência para alocação mensal da movimentação das aeronaves comerciais.
A sequência descrita nos ajustes por fatores específicos aplicados sobre a demanda internacional não guardam sintonia com os resultados apresentados nos gráficos "Projeção de demanda de passageiros internacionais de origem e destino no Brasil, considerando a convergência da elasticidade-PIB", "Projeção de demanda de passageiros com origem e destino internacional", "Resultado do ajuste de passageiros domésticos decorrentes de novas rotas internacionais" (se aplicável) e "Projeção de demanda de passageiros em rotas diretas internacionais no Aeroporto – embarque e desembarque", causando divergência nos valores apresentados nos gráficos.
</t>
  </si>
  <si>
    <r>
      <t xml:space="preserve">Dados de alcance máximo do sistema de pistas para as aeronaves típicas de passageiros divergentes daquelas fornecidas no relatório de Engenharia e Afins. 
Incoerência entre o critério referenciado para preterição de tráfego aéreo na consideração de restrições e aquele aplicado na prática. O critério referenciado baseia-se  no estudo " </t>
    </r>
    <r>
      <rPr>
        <i/>
        <sz val="11"/>
        <color theme="1"/>
        <rFont val="Times New Roman"/>
        <family val="1"/>
      </rPr>
      <t>The impact of airport capacity constraints on air fares (SEO Amsterdam Economics, 2017)</t>
    </r>
    <r>
      <rPr>
        <sz val="11"/>
        <color theme="1"/>
        <rFont val="Times New Roman"/>
        <family val="1"/>
      </rPr>
      <t>", segundo o qual, em aeroportos saturados, "</t>
    </r>
    <r>
      <rPr>
        <i/>
        <sz val="11"/>
        <color theme="1"/>
        <rFont val="Times New Roman"/>
        <family val="1"/>
      </rPr>
      <t>há uma priorização mais clara dos destinos com maior frequência do que uma priorização por segmentos da demanda</t>
    </r>
    <r>
      <rPr>
        <sz val="11"/>
        <color theme="1"/>
        <rFont val="Times New Roman"/>
        <family val="1"/>
      </rPr>
      <t xml:space="preserve">". Cabe aqui adicionar que o estudo referenciado não aborda apenas o aspecto da frequência, mas cita também que em aeroportos congestionados, operadores aéreos tendem a escolher mercados de maior </t>
    </r>
    <r>
      <rPr>
        <i/>
        <sz val="11"/>
        <color theme="1"/>
        <rFont val="Times New Roman"/>
        <family val="1"/>
      </rPr>
      <t>yield</t>
    </r>
    <r>
      <rPr>
        <sz val="11"/>
        <color theme="1"/>
        <rFont val="Times New Roman"/>
        <family val="1"/>
      </rPr>
      <t>, ao invés de atender novas rotas ("</t>
    </r>
    <r>
      <rPr>
        <i/>
        <sz val="11"/>
        <color theme="1"/>
        <rFont val="Times New Roman"/>
        <family val="1"/>
      </rPr>
      <t>If capacity is scarce, *airlines might choose to offer more flights to higher yield markets*, rather than serving new routes</t>
    </r>
    <r>
      <rPr>
        <sz val="11"/>
        <color theme="1"/>
        <rFont val="Times New Roman"/>
        <family val="1"/>
      </rPr>
      <t>"). Isto posto, baseado em suas alegações, o estudo identifica que 30% do tráfego aéreo previsto para SBSP deve ser preterido. A partir disso, usa SBGR como proxy, analisando a rotas e suas respectivas participações. Desta análise, identifica que, para SBGR, as rotas que representariam as 30% menos frequentes constituem-se 45% de domésticas e 55% de internacionais. Assim, conclui que "</t>
    </r>
    <r>
      <rPr>
        <i/>
        <sz val="11"/>
        <color theme="1"/>
        <rFont val="Times New Roman"/>
        <family val="1"/>
      </rPr>
      <t>quase não há diferença entre os segmentos de demanda que deixariam de ser atendidos</t>
    </r>
    <r>
      <rPr>
        <sz val="11"/>
        <color theme="1"/>
        <rFont val="Times New Roman"/>
        <family val="1"/>
      </rPr>
      <t xml:space="preserve">", e opta por mantar os padrões obtidos na demanda irrestrita. Portanto, considera-se que não foi mantido o critério do estudo utilizado como referência, uma vez que, na prática, foi aplicado um corte transversal em 30% da demanda, aplicando, após isso, os mesmos </t>
    </r>
    <r>
      <rPr>
        <i/>
        <sz val="11"/>
        <color theme="1"/>
        <rFont val="Times New Roman"/>
        <family val="1"/>
      </rPr>
      <t xml:space="preserve">market share </t>
    </r>
    <r>
      <rPr>
        <sz val="11"/>
        <color theme="1"/>
        <rFont val="Times New Roman"/>
        <family val="1"/>
      </rPr>
      <t xml:space="preserve">de rotas previstos na demanda irrestrita. Isso significa que foram mantidas todas as rotas já atendidas mas em volume 30% menor (tanto para mercados de alto </t>
    </r>
    <r>
      <rPr>
        <i/>
        <sz val="11"/>
        <color theme="1"/>
        <rFont val="Times New Roman"/>
        <family val="1"/>
      </rPr>
      <t xml:space="preserve">yield </t>
    </r>
    <r>
      <rPr>
        <sz val="11"/>
        <color theme="1"/>
        <rFont val="Times New Roman"/>
        <family val="1"/>
      </rPr>
      <t xml:space="preserve">quanto para outros de </t>
    </r>
    <r>
      <rPr>
        <i/>
        <sz val="11"/>
        <color theme="1"/>
        <rFont val="Times New Roman"/>
        <family val="1"/>
      </rPr>
      <t xml:space="preserve">yield </t>
    </r>
    <r>
      <rPr>
        <sz val="11"/>
        <color theme="1"/>
        <rFont val="Times New Roman"/>
        <family val="1"/>
      </rPr>
      <t xml:space="preserve">mais baixo). Desta feita, diminuiu-se o volume de frequência de ponte aérea e de novas rotas internacionais, em detrimento de, por exemplo, rotas regionais de baixa densidade e </t>
    </r>
    <r>
      <rPr>
        <i/>
        <sz val="11"/>
        <color theme="1"/>
        <rFont val="Times New Roman"/>
        <family val="1"/>
      </rPr>
      <t>yield</t>
    </r>
    <r>
      <rPr>
        <sz val="11"/>
        <color theme="1"/>
        <rFont val="Times New Roman"/>
        <family val="1"/>
      </rPr>
      <t>. Tal fato não apenas contraria a conclusão da referência apontada, mas também impacta na receita do aeroporto, já que pode influenciar nas aeronaves tipo para cada rota (conforme metodologia descrita na Seção 8, e também nas receitas tarifárias e não tarifárias, em função de um menor volume de movimentos internacionais. Como exemplo, cita-se passagem constante no capítulo 13: "</t>
    </r>
    <r>
      <rPr>
        <i/>
        <sz val="11"/>
        <color theme="1"/>
        <rFont val="Times New Roman"/>
        <family val="1"/>
      </rPr>
      <t>As projeções movimentos de aeronaves (capítulo 8) para SBSP indicam um aumento no número de rotas domésticas no horizonte de concessão. A maioria das novas rotas deverá ter como destino o norte do país, mas também serão incorporadas à malha de SBSP pequenos aeroportos na região Sudeste</t>
    </r>
    <r>
      <rPr>
        <sz val="11"/>
        <color theme="1"/>
        <rFont val="Times New Roman"/>
        <family val="1"/>
      </rPr>
      <t xml:space="preserve">". Pode-se observar reflexos também nos gráficos de Frequência x Nº de destinos.
Inconsistências entre as informações do ano de saturação da demanda anual e da capacidade de pista entre a descrição da seção e o gráfico da Figura 12-3.
</t>
    </r>
  </si>
  <si>
    <t xml:space="preserve">Fator "Pontualidade" utiliza como indicadores os voos atrasados e os voos pontuais, obtidos por meio do VRA. No entanto, não especifica qual o conceito de atraso utilizado para a quantificação de voos.
Na medida em que a competição intermodal considera no modelo as variáveis tempo e custos de deslocamento, em função dos custos com combustível e pedágio, conclui-se que o estudo analisa a competição intermodal apenas com transporte particular. O modelo não parece refletir competição intermodal com outros meios de transporte. 
Não especificou a fonte e a metodologia para estabelecimento dos preços médios de combustível por estado, utilizado na variável independente "gasto com combustível" no cálculo do custo de transporte não aéreo (competição intermodal).
Regressão logística da Análise de Competição Intermodal considera as viagens aéreas e não aéreas a partir de 400 Km (seção 6.4.1), classificadas como potenciais para se transformar em aéreas. No entanto, não há referências para o estabelecimento deste parâmetro de distância.
Ao mencionar que o crescimento da demanda não aérea é projetado por meio de uma regressão linear entre o índice ABCR e o PIB brasileiro, a forma funcional do modelo não é apresentada.
Não justifica o não uso de regressão logística para a competição intramodal (utiliza atratividade média). Menciona que "[a]s atratividades médias serão utilizadas para calcular a projeção de participação de mercado do aeroporto no horizonte da concessão", mas não mostra quais são essas atratividades médias.
</t>
  </si>
  <si>
    <r>
      <t>Metodologia de desenvolvimento do modelo de negócios de serviços aéreos (especialmente novas rotas) estuda apenas pela ótica da demanda, não considerando o da oferta. Estabelecer gatilhos com base na opção do passageiro (calculado em 72%, com base no estudo de dados a nível Brasil) para transformar rotas indiretas em novas rotas diretas no aeroporto ignora as estratégias de malha dos ofertantes (empresas aéreas). Não há também avaliação da factibilidade deste desenvolvimento na prática, já que muitos dos aeroportos avaliados criam muitas rotas diretas antes mesmo do início da concessão (2023). Não há uma avaliação do ponto de vista do estoque de aeronaves e tripulantes disponíveis. Fatores que poderiam ser ajustados no médio ou longo prazo, mas dificilmente possuem capacidade para acompanhar tal ritmo no curto prazo. Desta forma, considerando a metodologia sob a ótica do conjunto de aeroportos infere-se que a malha aérea brasileira caminharia no sentido de ligações ponto a ponto, perdendo aos poucos as características de hub-and-spoke. Contudo, entende-se que o desenvolvimento da malha aérea estaria mais ligado às estratégias comerciais das companhias aéreas em rede (que podem passar, em certa medida, por negociações com os operadores aeroportuários) do que centrar-se no comportamento da demanda de cada aeroporto individualmente.
Seção 8.2.1 - A seção descreve "</t>
    </r>
    <r>
      <rPr>
        <i/>
        <sz val="11"/>
        <color theme="1"/>
        <rFont val="Times New Roman"/>
        <family val="1"/>
      </rPr>
      <t>Para UFs ainda não conectadas, elenca-se rotas potenciais para os aeroportos das capitais. Em relação a UFs já conectadas, avalia-se potenciais rotas para os demais aeroportos dessas UFs. Neste caso, SBCG possuía, em 2019, rotas diretas para o Mato Grosso e o Distrito Federal, mas não para o Goiás. Dessa forma, todos os aeroportos dessas UFs167 são elegíveis para rotas potenciais (vide Tabela 8-4)</t>
    </r>
    <r>
      <rPr>
        <sz val="11"/>
        <color theme="1"/>
        <rFont val="Times New Roman"/>
        <family val="1"/>
      </rPr>
      <t xml:space="preserve">". No entanto, a lista não apresenta a capital do estado de Goiás.
</t>
    </r>
  </si>
  <si>
    <r>
      <t>Seção 8.3 - Definição dos gatilhos para criação de rotas diretas e retomada das rotas existentes antes da pandemia. Metodologia para criação de novas rotas domésticas (8.3.1) e internacionais (8.3.2) utiliza como um dos parâmetros voos por semana por classe de aeronave. Não há qualquer referência que suporte o estabelecimento de tais parâmetros.
Seção 9.2.2.4 e Seção 13 - No que compete à projeção de aeronaves cargueiras no aeroporto, o relatório assume a seguinte premissa: "</t>
    </r>
    <r>
      <rPr>
        <i/>
        <sz val="11"/>
        <color theme="1"/>
        <rFont val="Times New Roman"/>
        <family val="1"/>
      </rPr>
      <t>O Aeroporto não recebeu fluxo relevante de aeronaves cargueiras nos últimos anos, e tampouco se vislumbra, no horizonte da concessão, algum fator que altere o modo de transporte das cargas aéreas</t>
    </r>
    <r>
      <rPr>
        <sz val="11"/>
        <color theme="1"/>
        <rFont val="Times New Roman"/>
        <family val="1"/>
      </rPr>
      <t>". Da mesma forma, afirma na seção que analisa a inserção do aeroporto na malha aérea: "</t>
    </r>
    <r>
      <rPr>
        <i/>
        <sz val="11"/>
        <color theme="1"/>
        <rFont val="Times New Roman"/>
        <family val="1"/>
      </rPr>
      <t>Cabe ressaltar que o aeroporto não possui rotas de aeronaves cargueiros e não se prevê alteração dessa dinâmica ao longo do horizonte de concessão, conforme item 9</t>
    </r>
    <r>
      <rPr>
        <sz val="11"/>
        <color theme="1"/>
        <rFont val="Times New Roman"/>
        <family val="1"/>
      </rPr>
      <t>". Entende-se como uma simplificação assumir tal premissa para um período de 30 anos, sem mostrar ao leitor que se estudou as dinâmicas mercadológicas locais, a fim de tentar identificar possíveis migrações de carga em tal período, ou mesmo para sustentar que na matriz produtora local a produção não seria típica para escoamento por via aérea. Não se identificou tais levantamentos também na seção de competição intra e intermodal, que apenas estudou a divisão modal ou a falta de identificação de volumes de importação/exportação aérea nos últimos anos. Na seção 4.2.2 afirmam: "</t>
    </r>
    <r>
      <rPr>
        <i/>
        <sz val="11"/>
        <color theme="1"/>
        <rFont val="Times New Roman"/>
        <family val="1"/>
      </rPr>
      <t>Portanto, não há definição de RI de carga internacional. Em relação às cargas domésticas, conforme apresentado no item 3.2.2, a RI se restringe ao entorno do Aeroporto, com competição pouco expressiva com outros aeroportos</t>
    </r>
    <r>
      <rPr>
        <sz val="11"/>
        <color theme="1"/>
        <rFont val="Times New Roman"/>
        <family val="1"/>
      </rPr>
      <t xml:space="preserve">".
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Utilizam, para o critério de novas rotas para aeródromos da mesma UF, o nível de 24 movimentos anuais em 2019, sem justificar tecnicamente a escolha deste parâmetro.
Na projeção dos parâmetros utilizados para o cálculo da receita de permanência no segmento de AVG, o Consórcio aplica metodologias distintas para estimar o percentual de aeronaves pagantes no perfil doméstico e internacional e não apresenta premissa que justificaria essa diferenciação, haja vista ser mesmo parâmetro que está sendo calculado de modos distintos a depender de sua natureza. Enquanto o percentual de aeronaves pagantes domésticas é calculado por meio do modelo ARIMA de séries temporais, para as aeronaves internacionais optou-se pela manutenção do percentual observado no ano de 2019.
Seção 7.4 - Gráfico da 'Curva de taxa de conexão em função do número de rotas' não apresentou a equação de ajuste da curva.
Informa que a projeção do load factor estaria limitada ao valor projetado nos EUA para o ano de 2040 (86,9%). No entanto, os valores projetados nos gráficos Load factor médio doméstico por classe de envergadura e velocidade de aproximação e Load factor médio internacional por classe de envergadura e velocidade de aproximação não obedecem a tal patamar.
A afirmação de que o movimento de carga aérea doméstica no aeroporto acompanha o movimento de aeronaves comerciais de passageiros (para justificar a adoção do parâmetro de kg/movimentos) poderia ser ilustrada por meio de gráfico contendo as duas séries históricas (eixo principal e secundário).
Tabela 9-5: Percentual de redução de tempo de operação referente a cada tipo de melhoria implementada. Não há embasamento para suportar a divisão percentual do tempo total previsto de redução entre os processos de implantação do Duimp e do Aumento de operadores OEA.
</t>
    </r>
  </si>
  <si>
    <r>
      <t>Seção 7.1.2 - "Com relação às defasagens111, elas foram contempladas para PIB, tarifa aérea e yield, tanto para abrangência nacional como regional (Sudeste e RI), utilizando-se de inteligência conferida pelo relatório Brasil Que Voa (BQV), da SAC/MI, que contém informações de origem e destino real, entre outras, para 2014." Utilizaram o mesmo parágrafo para todos os relatórios sem atualizar a região.
Seção 7.2.2.1 - Tabela 7-13: Perfil de antecedência de compra de passagens considerado para o Aeroporto. Tal tabela se refere ao perfil da RI e não do Aeroporto.
Seção 7.2.3.2 - "</t>
    </r>
    <r>
      <rPr>
        <i/>
        <sz val="1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rFont val="Times New Roman"/>
        <family val="1"/>
      </rPr>
      <t>". No entanto, a seção não fornece o market share do aeroporto na RI. Apenas os passageiros ganhos/perdidos em função da competição intramodal.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rFont val="Times New Roman"/>
        <family val="1"/>
      </rPr>
      <t>Caso identifique-se alguma restrição faz-se necessário quantificar o impacto para então recalcular os parâmetros de demanda apresentados anteriormente (demanda de passageiros, movimentos, carga e demandas de pico)</t>
    </r>
    <r>
      <rPr>
        <sz val="11"/>
        <rFont val="Times New Roman"/>
        <family val="1"/>
      </rPr>
      <t>".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t>
    </r>
    <r>
      <rPr>
        <i/>
        <sz val="11"/>
        <rFont val="Times New Roman"/>
        <family val="1"/>
      </rPr>
      <t>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t>
    </r>
    <r>
      <rPr>
        <sz val="11"/>
        <rFont val="Times New Roman"/>
        <family val="1"/>
      </rPr>
      <t xml:space="preserve">". No entanto, considera-se essa informação insuficiente.
Para a projeção de load factor informam adotar crescimento paulatino até atingir o nível projetado nos EUA para 2040 (86,9%). No entanto, não se observa tal limitação nos valores dispostos nos gráficos de load factor médio.
Seção 7.4 - Não explicita a taxa de conexão do aeroporto resultante da metodologia apresentada.
</t>
    </r>
  </si>
  <si>
    <t xml:space="preserve">O Relatório recorre constantemente e excessivamente à consideração de que indicadores calculados pelos dados de 2019 seriam constantes para todo o horizonte da concessão (30 anos).
Argumentação insuficiente para prever que não haverá movimentos cargueiros no futuro: pela não observação de tal tipo de movimentos na série histórica e nem condições que façam supor mudança neste cenário.
</t>
  </si>
  <si>
    <t xml:space="preserve">Dados de alcance máximo do sistema de pistas para as aeronaves típicas de passageiros divergentes daquelas fornecidas no relatório de Engenharia e Afins.
</t>
  </si>
  <si>
    <t xml:space="preserve">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t>
  </si>
  <si>
    <r>
      <t>No caso da demanda de pico de ocupação de estacionamento de veículos, considerou-se que o relatório dispôs de excessivas simplificações metodológicas, assim como não detalhou metodologia de projeção de estacionamento mensalista/isento. 
Não considerou na projeção de pico de estacionamento a evolução e as tendências das formas de acesso ao aeroporto que poderão mudar a dinâmica da demanda por vagas.
Para pista, calculam o baseline (2019) com dados do dataroom para os aeroportos. No entanto, para a projeção, aplicam os mesmos fatores de evolução dos dados da Etapa Básica da ANAC, que é formada por dados de aviação comercial, conforme descrição da Seção 11.1 "ANAC (Dados da Etapa Básica para empresas domésticas e estrangeiras): dados voo a voo, contendo informações das aeronaves (modelo, matrícula, assentos), e número de passageiros pagos e grátis embarcados em voos domésticos e internacionais, regulares e não-regulares, na aviação comercial.". Entende-se não ser condizente.
Simplificação da metodologia de projeção de pico de estacionamento. Considerou-se que as vagas seriam ocupadas por veículos de longa estadia e que estas cresceriam à mesma taxa da movimentação total de AVG, estando sempre 100% lotadas. Reproduz-se: "</t>
    </r>
    <r>
      <rPr>
        <i/>
        <sz val="11"/>
        <color theme="1"/>
        <rFont val="Times New Roman"/>
        <family val="1"/>
      </rPr>
      <t xml:space="preserve">A projeção de demanda de vagas de estacionamento foi desenhada de forma a contemplar os diferentes segmentos de usuários e seus respectivos drivers de crescimento. Considerando os diferentes segmentos de demanda e informações colhidas em sítio que o estacionamento disponível se encontra sempre saturado, foi adotado que todas as vagas disponíveis são ocupadas por veículos em longa estadia. Considerando a existência de 35 vagas de estacionamento no aeroporto120, este fator indica uma ocupação de 100% das vagas no pico em 2019".
</t>
    </r>
  </si>
  <si>
    <t xml:space="preserve">Seção 12.2: Ao apresentar a projeção da demanda no cenário de restrições de capacidade da RI (Figura 12-1, página 116), o Consórcio soma a demanda prevista originalmente para SBMT àquela preterida pelo Aeroporto de Congonhas. Nesse sentido, tendo em vista que a projeção da demanda de pico é feita na seção anterior (Seção 11), não fica claro se o ajuste supracitado seria capaz de provocar mudanças sobre a projeção de demanda de pico do aeroporto e, consequentemente, sobre o dimensionamento da infraestrutura do Aeroporto estudado.
</t>
  </si>
  <si>
    <r>
      <t xml:space="preserve">No item 1.2.1.3 do Relatório 02 - </t>
    </r>
    <r>
      <rPr>
        <i/>
        <sz val="11"/>
        <color theme="1"/>
        <rFont val="Times New Roman"/>
        <family val="1"/>
      </rPr>
      <t>Estudos de Engenharia e Afins</t>
    </r>
    <r>
      <rPr>
        <sz val="11"/>
        <color theme="1"/>
        <rFont val="Times New Roman"/>
        <family val="1"/>
      </rPr>
      <t xml:space="preserve">, apresenta-se a infraestrutura dos Pátios de Aeronaves disponíveis no aeroporto. Na Tabela 1-38, apresenta-se o detalhamento dos Pátios. Verifica-se, no entanto, ausência de informações a respeito do índice de resistência do pavimento do Pátio de Aeronaves da Aviação Geral.
</t>
    </r>
  </si>
  <si>
    <t xml:space="preserve">Analisando-se a avaliação dos sistemas de pistas e pátios de aeronaves apresentada, verifica-se que, das 11 Pistas de Rolamento (PR), apenas 09 foram efetivamente avaliadas. Não foram localizadas, em quaisquer dos documentos apresentados, avaliações quanto ao estado de conservação das PR-C e K.
</t>
  </si>
  <si>
    <r>
      <t>Em relação aos efeitos da restrição à ciculação populacional, os estudos trazem as seguintes afirmações: "</t>
    </r>
    <r>
      <rPr>
        <i/>
        <sz val="11"/>
        <color theme="1"/>
        <rFont val="Times New Roman"/>
        <family val="1"/>
      </rPr>
      <t>Considera-se recuperação gradual da circulação, ainda com restrições parciais durante 2021. Após esse período, a perspectiva é de flexibilização da maior parte das medidas restritivas, possibilitando a retomada do tráfego doméstico de forma sustentada</t>
    </r>
    <r>
      <rPr>
        <sz val="11"/>
        <color theme="1"/>
        <rFont val="Times New Roman"/>
        <family val="1"/>
      </rPr>
      <t>" e "</t>
    </r>
    <r>
      <rPr>
        <i/>
        <sz val="11"/>
        <color theme="1"/>
        <rFont val="Times New Roman"/>
        <family val="1"/>
      </rPr>
      <t>Considerando o horizonte da concessão, tem-se que os efeitos da restrição à circulação populacional sobre o tráfego aéreo doméstico brasileiro deixariam de ser sentidos já no início de 2022, o que não afetaria a demanda no período em destaque da concessão</t>
    </r>
    <r>
      <rPr>
        <sz val="11"/>
        <color theme="1"/>
        <rFont val="Times New Roman"/>
        <family val="1"/>
      </rPr>
      <t>". No entanto, cada aeroporto vem performando em 2021 segundo suas próprias características. Assim, o gráfico associado para justificar a premissa assumida (Comparação entre a movimentação de passageiros domésticos mensais entre 2019 e 2020) poderia ter agregado os dados mensais de 2021 (pelo menos o primeiro trismestre), pois alguns indicam tendência reversa, ou perda de força na recuperação, de forma a qualificar a análise.
Análises de Aviação Geral basicamente a nível nacional, sem detalhar as características do segmento de cada aeroporto.
Variações sazonais foram trabalhadas de forma simplificada.
O estudo tende a conduzir diversas análises exclusivamente sob a ótica da demanda, sem observar que determinados drivers se devem à oferta. Algumas observações do relatório indicam esta percepção, como: “</t>
    </r>
    <r>
      <rPr>
        <i/>
        <sz val="11"/>
        <color theme="1"/>
        <rFont val="Times New Roman"/>
        <family val="1"/>
      </rPr>
      <t>Conforme observado na Figura 2-6, houve crescimento na quantidade de passageiros por movimento comercial (regular e não regular), o que foi possível pelo uso de aviões maiores nas rotas operadas em SBCR. Tal comportamento está alinhado à tendência observada de modernização da frota utilizada pelas companhias aéreas no Brasil e no mundo, conforme trata o capítulo 8</t>
    </r>
    <r>
      <rPr>
        <sz val="11"/>
        <color theme="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t>
    </r>
  </si>
  <si>
    <r>
      <t xml:space="preserve">Fator "Pontualidade" utiliza como indicadores os voos atrasados e os voos pontuais, obtidos por meio do VRA. No entanto, não especifica qual o conceito de atraso utilizado para a quantificação de voos.
Na medida em que a competição intermodal considera no modelo as variáveis tempo e custos de deslocamento, em função dos custos com combustível e pedágio, conclui-se que o estudo analisa a competição intermodal apenas com transporte particular. O modelo não parece refletir competição intermodal com outros meios de transporte. 
Não especificou a fonte e a metodologia para estabelecimento dos preços médios de combustível por estado, utilizado na variável independente "gasto com combustível" no cálculo do custo de transporte não aéreo (competição intermodal).
Regressão logística da Análise de Competição Intermodal considera as viagens aéreas e não aéreas a partir de 400 Km (seção 6.4.1), classificadas como potenciais para se transformar em aéreas. No entanto, não há referências para o estabelecimento deste parâmetro de distância.
Ao mencionar que o crescimento da demanda não aérea é projetado por meio de uma regressão linear entre o índice ABCR e o PIB brasileiro, a forma funcional do modelo não é apresentada.
Não justifica o não uso de regressão logística para a competição intramodal (utiliza atratividade média). Menciona que </t>
    </r>
    <r>
      <rPr>
        <i/>
        <sz val="11"/>
        <color theme="1"/>
        <rFont val="Times New Roman"/>
        <family val="1"/>
      </rPr>
      <t>"[a]s atratividades médias serão utilizadas para calcular a projeção de participação de mercado do aeroporto no horizonte da concessão</t>
    </r>
    <r>
      <rPr>
        <sz val="11"/>
        <color theme="1"/>
        <rFont val="Times New Roman"/>
        <family val="1"/>
      </rPr>
      <t>", mas não mostra quais são essas atratividades médias.
PAX Intermodal: "</t>
    </r>
    <r>
      <rPr>
        <i/>
        <sz val="11"/>
        <color theme="1"/>
        <rFont val="Times New Roman"/>
        <family val="1"/>
      </rPr>
      <t>O mapa revela que nos fluxos domésticos que envolvem a RI de Campo Grande, o modal aéreo predomina em todos os estados da região Norte e Nordeste, com porcentuais acima de 50% em todos as UFs. Nos fluxos ao Sudeste, o modal aéreo tem participação elevada no ES e RJ</t>
    </r>
    <r>
      <rPr>
        <sz val="11"/>
        <color theme="1"/>
        <rFont val="Times New Roman"/>
        <family val="1"/>
      </rPr>
      <t>". Reproduzem o estudo de SBCG em SBCR.
AVG Intramodal: O relatório menciona a competição direta com o aeroporto de Puerto Suarez (SLPS), informando descrições posteriores quanto à sua consideração nas projeções: "</t>
    </r>
    <r>
      <rPr>
        <i/>
        <sz val="11"/>
        <color theme="1"/>
        <rFont val="Times New Roman"/>
        <family val="1"/>
      </rPr>
      <t>Conforme apontado no item 3.3 e reapresentado na figura a seguir, o aeroporto de Puerto Suárez (SLPS foi classificado como competidor direto de SBCR e deve ser considerado nas projeções (conforme será visto no item 10)</t>
    </r>
    <r>
      <rPr>
        <sz val="11"/>
        <color theme="1"/>
        <rFont val="Times New Roman"/>
        <family val="1"/>
      </rPr>
      <t xml:space="preserve">". No entanto, não há menções específicas no capítulo indicado, permanecendo apenas as descrições gerais da metodologia. Assim, não foi possível compreender de que maneira tal aeroporto foi considerado na projeção.
A metodologia de competição intramodal, após aplicada, poderia ser analisada qualitativamente para verificar sua razoabilidade. No caso específico de SBCR, que em 2019 processou 28 mil passageiros regulares, recebe, em função da metodologia de distribuição de passageiros na RI por competição intramodal, cerca de 60 mil passageiros já no primeiro ano de concessão (2023). Parece não ser razoável prever que o aeroporto dobre sua movimentação por esse motivo em tão curto espaço de tempo.
</t>
    </r>
  </si>
  <si>
    <r>
      <t>Seção 8.3 - Definição dos gatilhos para criação de rotas diretas e retomada das rotas existentes antes da pandemia. Metodologia para criação de novas rotas domésticas (8.3.1) e internacionais (8.3.2) utiliza como um dos parâmetros voos por semana por classe de aeronave. Não há qualquer referência que suporte o estabelecimento de tais parâmetros.
Seção 9.2.2.4 e Seção 13 - No que compete à projeção de aeronaves cargueiras no aeroporto, o relatório assume a seguinte premissa: "</t>
    </r>
    <r>
      <rPr>
        <i/>
        <sz val="11"/>
        <color theme="1"/>
        <rFont val="Times New Roman"/>
        <family val="1"/>
      </rPr>
      <t>O Aeroporto não recebeu fluxo relevante de aeronaves cargueiras nos últimos anos, e tampouco se vislumbra, no horizonte da concessão, algum fator que altere o modo de transporte das cargas aéreas</t>
    </r>
    <r>
      <rPr>
        <sz val="11"/>
        <color theme="1"/>
        <rFont val="Times New Roman"/>
        <family val="1"/>
      </rPr>
      <t>". Da mesma forma, afirma na seção que analisa a inserção do aeroporto na malha aérea: "</t>
    </r>
    <r>
      <rPr>
        <i/>
        <sz val="11"/>
        <color theme="1"/>
        <rFont val="Times New Roman"/>
        <family val="1"/>
      </rPr>
      <t>Cabe ressaltar que o aeroporto não possui rotas de aeronaves cargueiros e não se prevê alteração dessa dinâmica ao longo do horizonte de concessão, conforme item 9</t>
    </r>
    <r>
      <rPr>
        <sz val="11"/>
        <color theme="1"/>
        <rFont val="Times New Roman"/>
        <family val="1"/>
      </rPr>
      <t>". Entende-se como uma simplificação assumir tal premissa para um período de 30 anos, sem mostrar ao leitor que se estudou as dinâmicas mercadológicas locais, a fim de tentar identificar possíveis migrações de carga em tal período, ou mesmo para sustentar que na matriz produtora local a produção não seria típica para escoamento por via aérea. Não se identificou tais levantamentos também na seção de competição intra e intermodal, que apenas estudou a divisão modal ou a falta de identificação de volumes de importação/exportação aérea nos últimos anos. Na seção 4.2.2 afirmam: "</t>
    </r>
    <r>
      <rPr>
        <i/>
        <sz val="11"/>
        <color theme="1"/>
        <rFont val="Times New Roman"/>
        <family val="1"/>
      </rPr>
      <t>Portanto, não há definição de RI de carga internacional. Em relação às cargas domésticas, conforme apresentado no item 3.2.2, a RI se restringe ao entorno do Aeroporto, com competição pouco expressiva com outros aeroportos</t>
    </r>
    <r>
      <rPr>
        <sz val="11"/>
        <color theme="1"/>
        <rFont val="Times New Roman"/>
        <family val="1"/>
      </rPr>
      <t xml:space="preserve">".
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Utilizam, para o critério de novas rotas para aeródromos da mesma UF, o nível de 24 movimentos anuais em 2019, sem justificar tecnicamente a escolha deste parâmetro.
Na projeção dos parâmetros utilizados para o cálculo da receita de permanência no segmento de AVG, o Consórcio aplica metodologias distintas para estimar o percentual de aeronaves pagantes no perfil doméstico e internacional e não apresenta premissa que justificaria essa diferenciação, haja vista ser mesmo parâmetro que está sendo calculado de modos distintos a depender de sua natureza. Enquanto o percentual de aeronaves pagantes domésticas é calculado por meio do modelo ARIMA de séries temporais, para as aeronaves internacionais optou-se pela manutenção do percentual observado no ano de 2019.
Seção 7.4 - Gráfico da 'Curva de taxa de conexão em função do número de rotas' não apresentou a equação de ajuste da curva.
Informa que a projeção do </t>
    </r>
    <r>
      <rPr>
        <i/>
        <sz val="11"/>
        <color theme="1"/>
        <rFont val="Times New Roman"/>
        <family val="1"/>
      </rPr>
      <t xml:space="preserve">load factor </t>
    </r>
    <r>
      <rPr>
        <sz val="11"/>
        <color theme="1"/>
        <rFont val="Times New Roman"/>
        <family val="1"/>
      </rPr>
      <t xml:space="preserve">estaria limitada ao valor projetado nos EUA para o ano de 2040 (86,9%). No entanto, os valores projetados nos gráficos </t>
    </r>
    <r>
      <rPr>
        <i/>
        <sz val="11"/>
        <color theme="1"/>
        <rFont val="Times New Roman"/>
        <family val="1"/>
      </rPr>
      <t xml:space="preserve">Load factor </t>
    </r>
    <r>
      <rPr>
        <sz val="11"/>
        <color theme="1"/>
        <rFont val="Times New Roman"/>
        <family val="1"/>
      </rPr>
      <t xml:space="preserve">médio doméstico por classe de envergadura e velocidade de aproximação e Load factor médio internacional por classe de envergadura e velocidade de aproximação não obedecem a tal patamar.
A afirmação de que o movimento de carga aérea doméstica no aeroporto acompanha o movimento de aeronaves comerciais de passageiros (para justificar a adoção do parâmetro de kg/movimentos) poderia ser ilustrada por meio de gráfico contendo as duas séries históricas (eixo principal e secundário).
</t>
    </r>
  </si>
  <si>
    <r>
      <t>Seção 7.1.2 - "Com relação às defasagens111, elas foram contempladas para PIB, tarifa aérea e yield, tanto para abrangência nacional como regional (Sudeste e RI), utilizando-se de inteligência conferida pelo relatório Brasil Que Voa (BQV), da SAC/MI, que contém informações de origem e destino real, entre outras, para 2014." Utilizaram o mesmo parágrafo para todos os relatórios sem atualizar a região.
Seção 7.2.2.1 - Tabela 7-13: Perfil de antecedência de compra de passagens considerado para o Aeroporto. Tal tabela se refere ao perfil da RI e não do Aeroporto.
Seção 7.2.3.2 - "</t>
    </r>
    <r>
      <rPr>
        <i/>
        <sz val="1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rFont val="Times New Roman"/>
        <family val="1"/>
      </rPr>
      <t>". No entanto, a seção não fornece o market share do aeroporto na RI. Apenas os passageiros ganhos/perdidos em função da competição intramodal.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rFont val="Times New Roman"/>
        <family val="1"/>
      </rPr>
      <t>Caso identifique-se alguma restrição faz-se necessário quantificar o impacto para então recalcular os parâmetros de demanda apresentados anteriormente (demanda de passageiros, movimentos, carga e demandas de pico)</t>
    </r>
    <r>
      <rPr>
        <sz val="11"/>
        <rFont val="Times New Roman"/>
        <family val="1"/>
      </rPr>
      <t>".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t>
    </r>
    <r>
      <rPr>
        <i/>
        <sz val="11"/>
        <rFont val="Times New Roman"/>
        <family val="1"/>
      </rPr>
      <t>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t>
    </r>
    <r>
      <rPr>
        <sz val="11"/>
        <rFont val="Times New Roman"/>
        <family val="1"/>
      </rPr>
      <t xml:space="preserve">". No entanto, considera-se essa informação insuficiente.
Seção 7.4 - Não explicita a taxa de conexão do aeroporto resultante da metodologia apresentada. 
</t>
    </r>
  </si>
  <si>
    <r>
      <t>Análises de Aviação Geral basicamente a nível nacional, sem detalhar as características do segmento de cada aeroporto.
O estudo tende a conduzir diversas análises exclusivamente sob a ótica da demanda, sem observar que determinados drivers se devem à oferta. Algumas observações do relatório indicam esta percepção, como: “</t>
    </r>
    <r>
      <rPr>
        <i/>
        <sz val="11"/>
        <color theme="1"/>
        <rFont val="Times New Roman"/>
        <family val="1"/>
      </rPr>
      <t>Conforme observado na Figura 2-6, houve crescimento na quantidade de passageiros por movimento comercial (regular e não regular), o que foi possível pelo uso de aviões maiores nas rotas operadas em SBCR. Tal comportamento está alinhado à tendência observada de modernização da frota utilizada pelas companhias aéreas no Brasil e no mundo, conforme trata o capítulo 8</t>
    </r>
    <r>
      <rPr>
        <sz val="11"/>
        <color theme="1"/>
        <rFont val="Times New Roman"/>
        <family val="1"/>
      </rPr>
      <t xml:space="preserve">”. A inferência sugere que o uso de aeronaves maiores induz o aumento da demanda, e não o contrário. Além disso, o uso de maiores aeronaves ou a implementação de maiores frequências varia de acordo com as estratégias comerciais do ofertante.
Não apresenta uma análise mais detalhada da AVG, nos moldes aplicados para SBJR, por exemplo: share de asa fixa e asa rotativa; principais equipamentos;  e oscilações sazonais.
</t>
    </r>
  </si>
  <si>
    <t xml:space="preserve">Fator "Pontualidade" utiliza como indicadores os voos atrasados e os voos pontuais, obtidos por meio do VRA. No entanto, não especifica qual o conceito de atraso utilizado para a quantificação de voos. 
Na medida em que a competição intermodal considera no modelo as variáveis tempo e custos de deslocamento, em função dos custos com combustível e pedágio, conclui-se que o estudo analisa a competição intermodal apenas com transporte particular. O modelo não parece refletir competição intermodal com outros meios de transporte. 
Não especificou a fonte e a metodologia para estabelecimento dos preços médios de combustível por estado, utilizado na variável independente "gasto com combustível" no cálculo do custo de transporte não aéreo (competição intermodal). 
Regressão logística da Análise de Competição Intermodal considera as viagens aéreas e não aéreas a partir de 400 Km, classificadas como pontenciais para se transformar em aéreas. No entanto, não há referências para o estabelecimento deste parâmetro de distância. 
Ao mencionar que o crescimento da demanda não aérea é projetado por meio de uma regressão linear entre o índice ABCR e o PIB brasileiro, a forma funcional do modelo não é apresentada. 
Não justifica o não uso de regressão logística para a competição intramodal (utiliza atratividade média). Menciona que "[a]s atratividades médias serão utilizadas para calcular a projeção de participação de mercado do aeroporto no horizonte da concessão", mas não mostra quais são essas atratividades médias. 
PAX Intermodal: Diversas menções ao Código ICAO de Campo Grande (SBCG) quando a referência deveria ser ao aeroporto de Ponta Porã (SBPP). 
A metodologia de competição intramodal, após aplicada, poderia ser analisada qualitativamente para verificar sua razoabilidade. No caso específico de SBPP, que não operou voos regulares em 2019, recebe, em função da metodologia de distribuição de passageiros na RI por competição intramodal, 25 mil passageiros já no primeiro ano de concessão (2023). Parece não ser razoável prever que o aeroporto dobre sua movimentação por esse motivo em tão curto espaço de tempo.
</t>
  </si>
  <si>
    <r>
      <t>Seção 8.3 - Definição dos gatilhos para criação de rotas diretas e retomada das rotas existentes antes da pandemia. Metodologia para criação de novas rotas domésticas (8.3.1) e internacionais (8.3.2) utiliza como um dos parâmetros voos por semana por classe de aeronave. Não há qualquer referência que suporte o estabelecimento de tais parâmetros.
Seção 9.2.2.4 e Seção 13 - No que compete à projeção de aeronaves cargueiras no aeroporto, o relatório assume a seguinte premissa: "</t>
    </r>
    <r>
      <rPr>
        <i/>
        <sz val="11"/>
        <color theme="1"/>
        <rFont val="Times New Roman"/>
        <family val="1"/>
      </rPr>
      <t>O Aeroporto não recebeu fluxo relevante de aeronaves cargueiras nos últimos anos, e tampouco se vislumbra, no horizonte da concessão, algum fator que altere o modo de transporte das cargas aéreas</t>
    </r>
    <r>
      <rPr>
        <sz val="11"/>
        <color theme="1"/>
        <rFont val="Times New Roman"/>
        <family val="1"/>
      </rPr>
      <t>". Da mesma forma, afirma na seção que analisa a inserção do aeroporto na malha aérea: "</t>
    </r>
    <r>
      <rPr>
        <i/>
        <sz val="11"/>
        <color theme="1"/>
        <rFont val="Times New Roman"/>
        <family val="1"/>
      </rPr>
      <t>Cabe ressaltar que o aeroporto não possui rotas de aeronaves cargueiros e não se prevê alteração dessa dinâmica ao longo do horizonte de concessão, conforme item 9</t>
    </r>
    <r>
      <rPr>
        <sz val="11"/>
        <color theme="1"/>
        <rFont val="Times New Roman"/>
        <family val="1"/>
      </rPr>
      <t>". Entende-se como uma simplificação assumir tal premissa para um período de 30 anos, sem mostrar ao leitor que se estudou as dinâmicas mercadológicas locais, a fim de tentar identificar possíveis migrações de carga em tal período, ou mesmo para sustentar que na matriz produtora local a produção não seria típica para escoamento por via aérea. Não se identificou tais levantamentos também na seção de competição intra e intermodal, que apenas estudou a divisão modal ou a falta de identificação de volumes de importação/exportação aérea nos últimos anos. Na seção 4.2.2 afirmam: "</t>
    </r>
    <r>
      <rPr>
        <i/>
        <sz val="11"/>
        <color theme="1"/>
        <rFont val="Times New Roman"/>
        <family val="1"/>
      </rPr>
      <t>Portanto, não há definição de RI de carga internacional. Em relação às cargas domésticas, conforme apresentado no item 3.2.2, a RI se restringe ao entorno do Aeroporto, com competição pouco expressiva com outros aeroportos</t>
    </r>
    <r>
      <rPr>
        <sz val="11"/>
        <color theme="1"/>
        <rFont val="Times New Roman"/>
        <family val="1"/>
      </rPr>
      <t xml:space="preserve">".
Seção 10.5.3.2 - Não justificam a escolha das faixas de PMD de permanência representativa do aeroporto, e essa escolha nem sempre reflete a faixa de maior share do aeroporto.
Seção 11.5 - Erro nas fórmulas de cálculo do número de vagas. O componente "Pax/veic" deveria ser "Veic/pax". Vale para curta e longa estadia.
Utilizam, para o critério de novas rotas para aeródromos da mesma UF, o nível de 24 movimentos anuais em 2019, sem justificar tecnicamente a escolha deste parâmetro.
Na projeção dos parâmetros utilizados para o cálculo da receita de permanência no segmento de AVG, o Consórcio aplica metodologias distintas para estimar o percentual de aeronaves pagantes no perfil doméstico e internacional e não apresenta premissa que justificaria essa diferenciação, haja vista ser mesmo parâmetro que está sendo calculado de modos distintos a depender de sua natureza. Enquanto o percentual de aeronaves pagantes domésticas é calculado por meio do modelo ARIMA de séries temporais, para as aeronaves internacionais optou-se pela manutenção do percentual observado no ano de 2019.
Seção 7.4 - Gráfico da 'Curva de taxa de conexão em função do número de rotas' não apresentou a equação de ajuste da curva.
Informa que a projeção do load factor estaria limitada ao valor projetado nos EUA para o ano de 2040 (86,9%). No entanto, os valores projetados nos gráficos Load factor médio doméstico por classe de envergadura e velocidade de aproximação e Load factor médio internacional por classe de envergadura e velocidade de aproximação não obedecem a tal patamar.
A afirmação de que o movimento de carga aérea doméstica no aeroporto acompanha o movimento de aeronaves comerciais de passageiros (para justificar a adoção do parâmetro de kg/movimentos) poderia ser ilustrada por meio de gráfico contendo as duas séries históricas (eixo principal e secundário), ainda que baseado nos indicadores de SBCR.
</t>
    </r>
  </si>
  <si>
    <r>
      <t>Seção 7.1.2 - "</t>
    </r>
    <r>
      <rPr>
        <i/>
        <sz val="11"/>
        <rFont val="Times New Roman"/>
        <family val="1"/>
      </rPr>
      <t>Com relação às defasagens111, elas foram contempladas para PIB, tarifa aérea e yield, tanto para abrangência nacional como regional (Sudeste e RI), utilizando-se de inteligência conferida pelo relatório Brasil Que Voa (BQV), da SAC/MI, que contém informações de origem e destino real, entre outras, para 2014</t>
    </r>
    <r>
      <rPr>
        <sz val="11"/>
        <rFont val="Times New Roman"/>
        <family val="1"/>
      </rPr>
      <t>". Utilizaram o mesmo parágrafo para todos os relatórios sem atualizar a região.
Seção 7.2.2.1 - Tabela 7-13: Perfil de antecedência de compra de passagens considerado para o Aeroporto. Tal tabela se refere ao perfil da RI e não do Aeroporto.
Seção 7.2.3.2 - "</t>
    </r>
    <r>
      <rPr>
        <i/>
        <sz val="11"/>
        <rFont val="Times New Roman"/>
        <family val="1"/>
      </rPr>
      <t>O passo seguinte da metodologia consiste em dividir a demanda da RI entre os aeroportos competidores. A partir do modelo de competição intramodal detalhado no item 6.4.2, projeta-se as utilidades dos aeroportos para obter o market share do aeroporto</t>
    </r>
    <r>
      <rPr>
        <sz val="11"/>
        <rFont val="Times New Roman"/>
        <family val="1"/>
      </rPr>
      <t>". No entanto, a seção não fornece o market share do aeroporto na RI. Apenas os passageiros ganhos/perdidos em função da competição intramodal.
Projetar voos não regulares (desconsiderando AVG) por 30 anos com base na proporção de voos não regulares sobre os voos comerciais (regulares + não regulares) do aeroporto em 2019 parece não conferir os drivers corretos. Como a denominação confere ao segmento, tais voos são não regulares e indexá-los ao crescimento dos regulares (que possuem drivers diferentes de projeção) traz para a projeção comportamentos que não são condizentes.
O relatório é generalista ao indicar que "</t>
    </r>
    <r>
      <rPr>
        <i/>
        <sz val="11"/>
        <rFont val="Times New Roman"/>
        <family val="1"/>
      </rPr>
      <t>Caso identifique-se alguma restrição faz-se necessário quantificar o impacto para então recalcular os parâmetros de demanda apresentados anteriormente (demanda de passageiros, movimentos, carga e demandas de pico)</t>
    </r>
    <r>
      <rPr>
        <sz val="11"/>
        <rFont val="Times New Roman"/>
        <family val="1"/>
      </rPr>
      <t>". Ao não pontuar os pontos da metodologia que necessitam recálculo, não permite ao leitor a rastreabilidade dos passos revisados. Diversos parâmetros e indicadores utilizados na projeção de demanda irrestrita são impactados ao se identificar restrições, sejam em função de itens apontados no projeto de engenharia ou na avaliação ambiental, mas também em função da inviabilidade de rotas previstas para o aeroporto (mix de aeronave, PMD médio, parâmetros de pico, entre outros).
Para projeção de cargas domésticas e internacionais, adotou-se modelos de séries temporais do tipo ARIMA (p,d,q) para estimação do volume de carga por movimento. Assim, projetou-se um valor que foi aplicado de maneira constante ao longo de 30 anos. Considera-se uma forte simplificação do modelo supor que tal média se manterá constante por 30 anos.
A metodologia de projeção de movimentos de aeronaves considera a distribuição de passageiros projetados ao ano em aeronaves típicas das rotas que são previstas para operar nos aeroportos. Para tanto, projetam como indicador a quantidade de passageiros por movimento por classe de aeronave atribuída a cada rota, valor pelo qual divide-se a quantidade de passageiros projetadas para as respectivas rotas, ano a ano. A metodologia para chegar ao indicador segue, de maneira simplificada, os seguintes passos: Projeção da frota de aeronaves no Brasil &gt; Associação de um número médio de assentos por aeronave &gt; Projeção de uma média de assentos oferecidos por voo vs Projeção da taxa média de ocupação (load factor) por classe de aeronave = Pax por movimentos. Primeiramente, observa-se a aplicação transversal dos mesmos indicadores de load factor (doméstico/internacional, por classe de aeronave) aos diferentes aeroportos, o que pode gerar divergências na realidade de cada aeroporto, uma vez que há um grupo de aeroportos de características heterogêneas. Adicionalmente, ao aplicar tal metodologia (distribuição de pax projetados por indicadores de pax por movimentos) à projeção de passageiros que contém passageiros de bordo, cria uma distorção (para cima ou para baixo) na movimentação de aeronaves. Isso se dá pois considera-se blocos de passageiros por aeronave, independentemente de sua natureza. Um caso representativo do impacto negativo é o aeroporto de Uberaba, o qual prevê-se uma série de passageiros de bordo tendente a zero. Tal efeito leva a uma redução no movimento de aeronaves ao longo do período, quando volta a ser crescente à medida em que passageiros de bordo atinge o valor zero. Isso implica inferir que todos os passageiros de bordo ocupem uma mesma aeronave, fato que não se vislumbra na realidade. O passageiro de bordo é uma decisão estratégica da empresa aérea e não uma característica da demanda do aeroporto. No outro extremo, têm-se o aeroporto de Corumbá, em que a projeção de passageiros de bordo mantém proporcionalidade superior a 20% de passageiros anuais. Portanto, tal efeito afeta a projeção de aeronaves dos aeroportos em diferentes medidas e sentidos (positivos e negativos). A constatação desta ocorrência ganha contornos mais sensíveis quando se verifica que outros parâmetros projetados consideram os movimentos de aeronaves como indicados, como, por exemplo, cargas e movimentos de pico. Desta forma, percebe-se efeito em todo o relatório.
As metodologias descritas para as projeções (em especial as de regressão linear) não trouxeram (nem na forma de anexo) a lista completa das diferentes combinações testadas de variáveis explicativas (juntamente com a dependente), bem como os principais resultados estatísticos resultantes, a fim de que o leitor possa identificar os parâmetros que levaram à adoção do modelo proposto. O relatório cita: "</t>
    </r>
    <r>
      <rPr>
        <i/>
        <sz val="11"/>
        <rFont val="Times New Roman"/>
        <family val="1"/>
      </rPr>
      <t>Por meio de rotina computacional (conforme explanado no item 6.2.2) foram realizados testes de regressão linear múltipla com diversas combinações possíveis de variáveis independentes para a previsão de movimentação de passageiros (PAX) na RI, em diferentes periodicidades. As regressões geradas foram filtradas para se selecionar a mais adequada</t>
    </r>
    <r>
      <rPr>
        <sz val="11"/>
        <rFont val="Times New Roman"/>
        <family val="1"/>
      </rPr>
      <t xml:space="preserve">". No entanto, considera-se essa informação insuficiente.
</t>
    </r>
  </si>
  <si>
    <t xml:space="preserve">O Relatório recorre constantemente e excessivamente à consideração de que indicadores calculados pelos dados de 2019 seriam constantes para todo o horizonte da concessão (30 anos, ainda que baseado em indicadores de SBCR).
Argumentação insuficiente para prever que não haverá movimentos cargueiros no futuro: pela não observação de tal tipo de movimentos na série histórica e nem condições que façam supor mudança neste cenário.
</t>
  </si>
  <si>
    <r>
      <t>Os agrupamentos de apresentação dos resultados da demanda estão confusos. Por vezes, o relatório apresenta como comercial os movimentos regulares e não regulares (passageiros e cargas), e em outros momentos agrega AVG aos movimentos não regulares (o que mistura aviação particular com aviação de serviços aéreos públicos, ou mesmo classes tarifárias distintas - Grupos I e II). Como exemplo, na projeção de movimentos não-regulares, o Consórcio parece classificar o movimento de AVG como não-regular. Contudo, não fica claro ao leitor de que forma tais classificações implicam no cálculo, podendo levar à conclusão de superestimação caso sejam considerados os movimentos de aviação geral (ainda que de forma total ou parcial, considerando apenas taxi aéreo)
Não foi apresentada a projeção da média de assentos ofertados por voo e por classe de envergadura e velocidade de aproximação para os movimentos internacionais. Desse modo, para algumas classes de aeronaves, não é possível rastrear a média de assentos ofertados e, consequentemente, a base de cálculo utilizada na projeção de passageiros por movimento internacional em cada uma dessas classes.
O relatório cita: "</t>
    </r>
    <r>
      <rPr>
        <i/>
        <sz val="11"/>
        <rFont val="Times New Roman"/>
        <family val="1"/>
      </rPr>
      <t>Concluídas as obras o Aeroporto passa a ter capacidade suficiente para atender toda a demanda prevista no horizonte de concessão, não proporcionando restrições à demanda</t>
    </r>
    <r>
      <rPr>
        <sz val="11"/>
        <rFont val="Times New Roman"/>
        <family val="1"/>
      </rPr>
      <t xml:space="preserve">". No entanto, a Figura 12-9 indica uma demanda muito suprior à capacidade em todo o período.
</t>
    </r>
  </si>
  <si>
    <t xml:space="preserve">No caso da demanda de pico de ocupação de estacionamento de veículos, considerou-se que o relatório dispôs de excessivas simplificações metodológicas, assim como não detalhou metodologia de projeção de estacionamento mensalista/isento.
Não considerou na projeção de pico de estacionamento a evolução e as tendências das formas de acesso ao aeroporto que poderão mudar a dinâmica da demanda por vagas.
Representou-se de forma incorreta o número de assentos ofertados em operações simultâneas (Figura 11-11). Tal representação está refletindo a metodologia incorreta, já que para o aeroporto o que vale é a diretriz de 1,3 x assentos oferecidos pela aeronave crítica.
Para passageiro hora-pico, utilizou SBCR como benchmark (2019), uma vez que SBPP não opera aviação regular. No entanto, para pista e pátio, não manteve o mesmo critério, aplicando diretametne o valor obtido da função potência, resultando em valores distorcidos quando comparados aos de SBCR (passageiro hora-pico vs hora-pico de pista).
Sem justificativa, usam SBCG como benchmark com fator de proporcionalidade (sendo que SBCG já usara SBCY como benchmark). O critério parece não ser o mais adequado considerando a característica dos dois aeroportos.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</si>
</sst>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_-;\-* #,##0.000_-;_-* &quot;-&quot;??_-;_-@_-"/>
    <numFmt numFmtId="165" formatCode="_-* #,##0.000_-;\-* #,##0.00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b/>
      <sz val="12"/>
      <color theme="1"/>
      <name val="Times New Roman"/>
      <family val="1"/>
    </font>
    <font>
      <b/>
      <sz val="11"/>
      <color rgb="FFFF0000"/>
      <name val="Times New Roman"/>
      <family val="1"/>
    </font>
    <font>
      <sz val="11"/>
      <name val="Times New Roman"/>
      <family val="1"/>
    </font>
    <font>
      <sz val="12"/>
      <name val="Times New Roman"/>
      <family val="1"/>
    </font>
    <font>
      <sz val="11"/>
      <color rgb="FFFF0000"/>
      <name val="Calibri"/>
      <family val="2"/>
      <scheme val="minor"/>
    </font>
    <font>
      <sz val="9"/>
      <color indexed="81"/>
      <name val="Tahoma"/>
      <family val="2"/>
    </font>
    <font>
      <b/>
      <sz val="9"/>
      <color indexed="81"/>
      <name val="Tahoma"/>
      <family val="2"/>
    </font>
    <font>
      <i/>
      <sz val="12"/>
      <name val="Times New Roman"/>
      <family val="1"/>
    </font>
    <font>
      <b/>
      <sz val="11"/>
      <name val="Times New Roman"/>
      <family val="1"/>
    </font>
    <font>
      <sz val="11"/>
      <color rgb="FFFF0000"/>
      <name val="Times New Roman"/>
      <family val="1"/>
    </font>
    <font>
      <sz val="11"/>
      <color theme="4"/>
      <name val="Times New Roman"/>
      <family val="1"/>
    </font>
    <font>
      <sz val="11"/>
      <color rgb="FF000000"/>
      <name val="Times New Roman"/>
      <family val="1"/>
    </font>
    <font>
      <i/>
      <sz val="11"/>
      <name val="Times New Roman"/>
      <family val="1"/>
    </font>
    <font>
      <i/>
      <sz val="11"/>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darkGrid">
        <bgColor theme="0"/>
      </patternFill>
    </fill>
    <fill>
      <patternFill patternType="darkGrid">
        <bgColor theme="0" tint="-4.9989318521683403E-2"/>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89">
    <xf numFmtId="0" fontId="0" fillId="0" borderId="0" xfId="0"/>
    <xf numFmtId="0" fontId="3" fillId="0" borderId="0" xfId="0" applyFont="1"/>
    <xf numFmtId="0" fontId="5" fillId="3" borderId="1" xfId="0" applyFont="1" applyFill="1" applyBorder="1" applyAlignment="1">
      <alignment horizontal="center"/>
    </xf>
    <xf numFmtId="0" fontId="3" fillId="3" borderId="1" xfId="0" applyFont="1" applyFill="1" applyBorder="1" applyAlignment="1">
      <alignment horizontal="center" wrapText="1"/>
    </xf>
    <xf numFmtId="0" fontId="0" fillId="4" borderId="0" xfId="0" applyFill="1"/>
    <xf numFmtId="0" fontId="0" fillId="4" borderId="2" xfId="0" applyFill="1" applyBorder="1"/>
    <xf numFmtId="0" fontId="0" fillId="4" borderId="6" xfId="0" applyFill="1" applyBorder="1"/>
    <xf numFmtId="0" fontId="0" fillId="4" borderId="8" xfId="0" applyFill="1" applyBorder="1"/>
    <xf numFmtId="43" fontId="0" fillId="4" borderId="9" xfId="2" applyFont="1" applyFill="1" applyBorder="1"/>
    <xf numFmtId="0" fontId="0" fillId="4" borderId="10" xfId="0" applyFill="1" applyBorder="1"/>
    <xf numFmtId="10" fontId="0" fillId="4" borderId="1" xfId="0" applyNumberFormat="1" applyFill="1" applyBorder="1"/>
    <xf numFmtId="43" fontId="0" fillId="3" borderId="13" xfId="0" applyNumberFormat="1" applyFill="1" applyBorder="1"/>
    <xf numFmtId="43" fontId="0" fillId="3" borderId="14" xfId="0" applyNumberFormat="1" applyFill="1" applyBorder="1"/>
    <xf numFmtId="0" fontId="2" fillId="3" borderId="1" xfId="0" applyFont="1" applyFill="1" applyBorder="1" applyAlignment="1">
      <alignment horizontal="center" wrapText="1"/>
    </xf>
    <xf numFmtId="0" fontId="0" fillId="4" borderId="9" xfId="0" applyFill="1" applyBorder="1" applyAlignment="1">
      <alignment horizontal="center"/>
    </xf>
    <xf numFmtId="0" fontId="7" fillId="0" borderId="0" xfId="0" applyFont="1"/>
    <xf numFmtId="0" fontId="3" fillId="0" borderId="0" xfId="0" applyFont="1" applyAlignment="1">
      <alignment wrapText="1"/>
    </xf>
    <xf numFmtId="10" fontId="0" fillId="4" borderId="11" xfId="0" applyNumberFormat="1" applyFill="1" applyBorder="1"/>
    <xf numFmtId="165" fontId="0" fillId="4" borderId="0" xfId="0" applyNumberFormat="1" applyFill="1"/>
    <xf numFmtId="43" fontId="0" fillId="4" borderId="0" xfId="0" applyNumberFormat="1" applyFill="1"/>
    <xf numFmtId="0" fontId="8" fillId="0" borderId="1" xfId="0" applyFont="1" applyBorder="1" applyAlignment="1">
      <alignment vertical="center" wrapText="1"/>
    </xf>
    <xf numFmtId="10" fontId="0" fillId="4" borderId="0" xfId="0" applyNumberFormat="1" applyFill="1"/>
    <xf numFmtId="0" fontId="8" fillId="0" borderId="1" xfId="0" applyFont="1" applyBorder="1" applyAlignment="1">
      <alignment horizontal="left" vertical="center" wrapText="1"/>
    </xf>
    <xf numFmtId="0" fontId="0" fillId="5" borderId="8" xfId="0" applyFill="1" applyBorder="1"/>
    <xf numFmtId="10" fontId="0" fillId="5" borderId="1" xfId="0" applyNumberFormat="1" applyFill="1" applyBorder="1"/>
    <xf numFmtId="164" fontId="2" fillId="6" borderId="9" xfId="2" applyNumberFormat="1" applyFont="1" applyFill="1" applyBorder="1" applyAlignment="1">
      <alignment horizontal="center"/>
    </xf>
    <xf numFmtId="0" fontId="0" fillId="7" borderId="0" xfId="0" applyFill="1" applyBorder="1"/>
    <xf numFmtId="10" fontId="0" fillId="7" borderId="0" xfId="0" applyNumberFormat="1" applyFill="1" applyBorder="1"/>
    <xf numFmtId="10" fontId="9" fillId="7" borderId="0" xfId="0" applyNumberFormat="1" applyFont="1" applyFill="1" applyBorder="1"/>
    <xf numFmtId="43" fontId="0" fillId="7" borderId="0" xfId="0" applyNumberFormat="1" applyFill="1" applyBorder="1"/>
    <xf numFmtId="43" fontId="0" fillId="4" borderId="12" xfId="2" applyFont="1" applyFill="1" applyBorder="1"/>
    <xf numFmtId="9" fontId="0" fillId="4" borderId="8" xfId="1" applyFont="1" applyFill="1" applyBorder="1"/>
    <xf numFmtId="10" fontId="0" fillId="4" borderId="8" xfId="1" applyNumberFormat="1" applyFont="1" applyFill="1" applyBorder="1"/>
    <xf numFmtId="10" fontId="0" fillId="4" borderId="1" xfId="1" applyNumberFormat="1" applyFont="1" applyFill="1" applyBorder="1"/>
    <xf numFmtId="0" fontId="7" fillId="4" borderId="0" xfId="0" applyFont="1" applyFill="1"/>
    <xf numFmtId="0" fontId="8" fillId="4" borderId="1" xfId="0" applyFont="1" applyFill="1" applyBorder="1" applyAlignment="1">
      <alignment vertical="center" wrapText="1"/>
    </xf>
    <xf numFmtId="0" fontId="3" fillId="4" borderId="0" xfId="0" applyFont="1" applyFill="1"/>
    <xf numFmtId="0" fontId="0" fillId="4" borderId="18" xfId="0" applyFill="1" applyBorder="1"/>
    <xf numFmtId="10" fontId="0" fillId="4" borderId="18" xfId="1" applyNumberFormat="1" applyFont="1" applyFill="1" applyBorder="1"/>
    <xf numFmtId="10" fontId="0" fillId="4" borderId="2" xfId="1" applyNumberFormat="1" applyFont="1" applyFill="1" applyBorder="1"/>
    <xf numFmtId="0" fontId="8" fillId="0" borderId="1" xfId="0" applyFont="1" applyFill="1" applyBorder="1" applyAlignment="1">
      <alignment vertical="center" wrapText="1"/>
    </xf>
    <xf numFmtId="0" fontId="3" fillId="0" borderId="0" xfId="0" applyFont="1" applyFill="1"/>
    <xf numFmtId="0" fontId="8" fillId="0" borderId="2" xfId="0" applyFont="1" applyFill="1" applyBorder="1" applyAlignment="1">
      <alignment vertical="center" wrapText="1"/>
    </xf>
    <xf numFmtId="0" fontId="5" fillId="3" borderId="1" xfId="0" applyFont="1" applyFill="1" applyBorder="1" applyAlignment="1">
      <alignment horizontal="center" wrapText="1"/>
    </xf>
    <xf numFmtId="0" fontId="8" fillId="4" borderId="2" xfId="0" applyFont="1" applyFill="1" applyBorder="1" applyAlignment="1">
      <alignment horizontal="left" vertical="center" wrapText="1"/>
    </xf>
    <xf numFmtId="0" fontId="7" fillId="0" borderId="1" xfId="0" applyFont="1" applyFill="1" applyBorder="1"/>
    <xf numFmtId="0" fontId="7" fillId="0" borderId="1" xfId="0" applyFont="1" applyBorder="1"/>
    <xf numFmtId="0" fontId="7" fillId="4" borderId="1" xfId="0" applyFont="1" applyFill="1" applyBorder="1"/>
    <xf numFmtId="43" fontId="0" fillId="4" borderId="0" xfId="2" applyFont="1" applyFill="1"/>
    <xf numFmtId="0" fontId="4" fillId="0" borderId="0" xfId="0" applyFont="1"/>
    <xf numFmtId="0" fontId="4" fillId="3" borderId="1" xfId="0" applyFont="1" applyFill="1" applyBorder="1" applyAlignment="1">
      <alignment horizontal="center" wrapText="1"/>
    </xf>
    <xf numFmtId="0" fontId="4" fillId="0" borderId="0" xfId="0" applyFont="1" applyAlignment="1">
      <alignment wrapText="1"/>
    </xf>
    <xf numFmtId="9" fontId="3" fillId="0" borderId="0" xfId="0" applyNumberFormat="1" applyFont="1"/>
    <xf numFmtId="0" fontId="15" fillId="0" borderId="1" xfId="0" applyFont="1" applyBorder="1" applyAlignment="1">
      <alignment wrapText="1"/>
    </xf>
    <xf numFmtId="0" fontId="3"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3" fillId="0" borderId="1" xfId="0" applyFont="1" applyBorder="1" applyAlignment="1">
      <alignment horizontal="left" vertical="top"/>
    </xf>
    <xf numFmtId="9" fontId="3" fillId="0" borderId="1" xfId="1" applyNumberFormat="1" applyFont="1" applyBorder="1" applyAlignment="1">
      <alignment horizontal="left" vertical="top"/>
    </xf>
    <xf numFmtId="9" fontId="3" fillId="0" borderId="1" xfId="1" applyFont="1" applyFill="1" applyBorder="1" applyAlignment="1" applyProtection="1">
      <alignment horizontal="left" vertical="top"/>
    </xf>
    <xf numFmtId="0" fontId="14" fillId="0" borderId="1" xfId="0" applyFont="1" applyBorder="1" applyAlignment="1">
      <alignment horizontal="left" vertical="top" wrapText="1"/>
    </xf>
    <xf numFmtId="0" fontId="3" fillId="0" borderId="1" xfId="0" applyFont="1" applyFill="1" applyBorder="1" applyAlignment="1">
      <alignment horizontal="left" vertical="top"/>
    </xf>
    <xf numFmtId="9" fontId="3" fillId="0" borderId="1" xfId="1" applyNumberFormat="1" applyFont="1" applyFill="1" applyBorder="1" applyAlignment="1">
      <alignment horizontal="left" vertical="top"/>
    </xf>
    <xf numFmtId="0" fontId="3" fillId="0" borderId="1" xfId="0" applyFont="1" applyFill="1" applyBorder="1" applyAlignment="1">
      <alignment horizontal="left" vertical="top" wrapText="1"/>
    </xf>
    <xf numFmtId="0" fontId="3" fillId="4" borderId="1" xfId="0" applyFont="1" applyFill="1" applyBorder="1" applyAlignment="1">
      <alignment horizontal="left" vertical="top"/>
    </xf>
    <xf numFmtId="9" fontId="3" fillId="4" borderId="1" xfId="1" applyNumberFormat="1" applyFont="1" applyFill="1" applyBorder="1" applyAlignment="1">
      <alignment horizontal="left" vertical="top"/>
    </xf>
    <xf numFmtId="0" fontId="7" fillId="0" borderId="1" xfId="0" applyFont="1" applyFill="1" applyBorder="1" applyAlignment="1">
      <alignment horizontal="left" vertical="top"/>
    </xf>
    <xf numFmtId="9" fontId="7" fillId="0" borderId="1" xfId="1" applyNumberFormat="1" applyFont="1" applyFill="1" applyBorder="1" applyAlignment="1">
      <alignment horizontal="left" vertical="top"/>
    </xf>
    <xf numFmtId="9" fontId="7" fillId="0" borderId="1" xfId="1" applyFont="1" applyFill="1" applyBorder="1" applyAlignment="1" applyProtection="1">
      <alignment horizontal="left" vertical="top"/>
    </xf>
    <xf numFmtId="0" fontId="7" fillId="0" borderId="1" xfId="0" applyFont="1" applyBorder="1" applyAlignment="1">
      <alignment horizontal="left" vertical="top"/>
    </xf>
    <xf numFmtId="9" fontId="7" fillId="0" borderId="1" xfId="1" applyNumberFormat="1" applyFont="1" applyBorder="1" applyAlignment="1">
      <alignment horizontal="left" vertical="top"/>
    </xf>
    <xf numFmtId="0" fontId="7" fillId="4" borderId="1" xfId="0" applyFont="1" applyFill="1" applyBorder="1" applyAlignment="1">
      <alignment horizontal="left" vertical="top"/>
    </xf>
    <xf numFmtId="9" fontId="7" fillId="4" borderId="1" xfId="1" applyNumberFormat="1" applyFont="1" applyFill="1" applyBorder="1" applyAlignment="1">
      <alignment horizontal="left" vertical="top"/>
    </xf>
    <xf numFmtId="0" fontId="13" fillId="4" borderId="1" xfId="0" applyFont="1" applyFill="1" applyBorder="1" applyAlignment="1">
      <alignment horizontal="left" vertical="top" wrapText="1"/>
    </xf>
    <xf numFmtId="10" fontId="0" fillId="4" borderId="0" xfId="1" applyNumberFormat="1" applyFont="1" applyFill="1"/>
    <xf numFmtId="10" fontId="2" fillId="3" borderId="7" xfId="1" applyNumberFormat="1" applyFont="1" applyFill="1" applyBorder="1" applyAlignment="1">
      <alignment horizontal="center"/>
    </xf>
    <xf numFmtId="10" fontId="2" fillId="3" borderId="9" xfId="1" applyNumberFormat="1" applyFont="1" applyFill="1" applyBorder="1" applyAlignment="1">
      <alignment horizontal="center"/>
    </xf>
    <xf numFmtId="10" fontId="2" fillId="6" borderId="9" xfId="1" applyNumberFormat="1" applyFont="1" applyFill="1" applyBorder="1" applyAlignment="1">
      <alignment horizontal="center"/>
    </xf>
    <xf numFmtId="10" fontId="2" fillId="3" borderId="12" xfId="1" applyNumberFormat="1" applyFont="1" applyFill="1" applyBorder="1" applyAlignment="1">
      <alignment horizontal="center"/>
    </xf>
    <xf numFmtId="10" fontId="2" fillId="7" borderId="0" xfId="1" applyNumberFormat="1" applyFont="1" applyFill="1" applyBorder="1" applyAlignment="1">
      <alignment horizontal="center"/>
    </xf>
    <xf numFmtId="0" fontId="2" fillId="4" borderId="15" xfId="0" applyFont="1" applyFill="1" applyBorder="1" applyAlignment="1">
      <alignment horizontal="center"/>
    </xf>
    <xf numFmtId="0" fontId="2" fillId="4" borderId="16" xfId="0" applyFont="1" applyFill="1" applyBorder="1" applyAlignment="1">
      <alignment horizontal="center"/>
    </xf>
    <xf numFmtId="0" fontId="2" fillId="4" borderId="17" xfId="0" applyFont="1"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4" fillId="2" borderId="1" xfId="0" applyFont="1" applyFill="1" applyBorder="1" applyAlignment="1">
      <alignment horizontal="center"/>
    </xf>
  </cellXfs>
  <cellStyles count="3">
    <cellStyle name="Normal" xfId="0" builtinId="0"/>
    <cellStyle name="Porcentagem" xfId="1" builtinId="5"/>
    <cellStyle name="Vírgula" xfId="2" builtinId="3"/>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6"/>
  <sheetViews>
    <sheetView zoomScale="90" zoomScaleNormal="90" workbookViewId="0">
      <selection activeCell="M5" sqref="M5"/>
    </sheetView>
  </sheetViews>
  <sheetFormatPr defaultColWidth="9.140625" defaultRowHeight="15" x14ac:dyDescent="0.25"/>
  <cols>
    <col min="1" max="1" width="2.28515625" style="4" customWidth="1"/>
    <col min="2" max="2" width="21.140625" style="4" customWidth="1"/>
    <col min="3" max="3" width="10.140625" style="4" bestFit="1" customWidth="1"/>
    <col min="4" max="4" width="10.7109375" style="4" bestFit="1" customWidth="1"/>
    <col min="5" max="5" width="10.28515625" style="4" bestFit="1" customWidth="1"/>
    <col min="6" max="6" width="10.28515625" style="4" customWidth="1"/>
    <col min="7" max="7" width="15.140625" style="76" customWidth="1"/>
    <col min="8" max="8" width="1.7109375" style="4" customWidth="1"/>
    <col min="9" max="12" width="13" style="4" customWidth="1"/>
    <col min="13" max="13" width="21.7109375" style="4" bestFit="1" customWidth="1"/>
    <col min="14" max="14" width="22.7109375" style="4" customWidth="1"/>
    <col min="15" max="15" width="15.28515625" style="4" customWidth="1"/>
    <col min="16" max="16" width="19.140625" style="4" customWidth="1"/>
    <col min="17" max="17" width="18.7109375" style="4" customWidth="1"/>
    <col min="18" max="21" width="14.42578125" style="4" bestFit="1" customWidth="1"/>
    <col min="22" max="16384" width="9.140625" style="4"/>
  </cols>
  <sheetData>
    <row r="1" spans="2:21" ht="11.25" customHeight="1" thickBot="1" x14ac:dyDescent="0.3"/>
    <row r="2" spans="2:21" ht="15.75" thickBot="1" x14ac:dyDescent="0.3">
      <c r="B2" s="82" t="s">
        <v>15</v>
      </c>
      <c r="C2" s="83"/>
      <c r="D2" s="83"/>
      <c r="E2" s="83"/>
      <c r="F2" s="83"/>
      <c r="G2" s="84"/>
      <c r="I2" s="82" t="s">
        <v>22</v>
      </c>
      <c r="J2" s="83"/>
      <c r="K2" s="83"/>
      <c r="L2" s="83"/>
      <c r="M2" s="83"/>
      <c r="N2" s="84"/>
    </row>
    <row r="3" spans="2:21" x14ac:dyDescent="0.25">
      <c r="B3" s="85" t="s">
        <v>30</v>
      </c>
      <c r="C3" s="86"/>
      <c r="D3" s="86"/>
      <c r="E3" s="86"/>
      <c r="F3" s="86"/>
      <c r="G3" s="87"/>
      <c r="I3" s="85" t="s">
        <v>30</v>
      </c>
      <c r="J3" s="86"/>
      <c r="K3" s="86"/>
      <c r="L3" s="86"/>
      <c r="M3" s="86"/>
      <c r="N3" s="87"/>
    </row>
    <row r="4" spans="2:21" ht="30" x14ac:dyDescent="0.25">
      <c r="B4" s="6"/>
      <c r="C4" s="5" t="s">
        <v>17</v>
      </c>
      <c r="D4" s="5" t="s">
        <v>19</v>
      </c>
      <c r="E4" s="5" t="s">
        <v>18</v>
      </c>
      <c r="F4" s="5" t="s">
        <v>20</v>
      </c>
      <c r="G4" s="77" t="s">
        <v>21</v>
      </c>
      <c r="I4" s="7" t="s">
        <v>17</v>
      </c>
      <c r="J4" s="5" t="s">
        <v>19</v>
      </c>
      <c r="K4" s="5" t="s">
        <v>18</v>
      </c>
      <c r="L4" s="5" t="s">
        <v>20</v>
      </c>
      <c r="M4" s="13" t="s">
        <v>23</v>
      </c>
      <c r="N4" s="14" t="s">
        <v>51</v>
      </c>
    </row>
    <row r="5" spans="2:21" x14ac:dyDescent="0.25">
      <c r="B5" s="7" t="s">
        <v>34</v>
      </c>
      <c r="C5" s="10">
        <f>AVERAGE('Rio de Janeiro SBRJ'!H4:H13)</f>
        <v>0.77699999999999991</v>
      </c>
      <c r="D5" s="10">
        <f>AVERAGE('Rio de Janeiro SBRJ'!H14:H33)</f>
        <v>0.91400000000000003</v>
      </c>
      <c r="E5" s="10">
        <f>AVERAGE('Rio de Janeiro SBRJ'!H34:H41)</f>
        <v>0.95374999999999999</v>
      </c>
      <c r="F5" s="10">
        <f>AVERAGE('Rio de Janeiro SBRJ'!H42:H51)</f>
        <v>0.83100000000000007</v>
      </c>
      <c r="G5" s="78">
        <f>AVERAGE('Rio de Janeiro SBRJ'!H4:H51)</f>
        <v>0.87479166666666652</v>
      </c>
      <c r="H5" s="18"/>
      <c r="I5" s="32">
        <f>1197266.8/6555432.74</f>
        <v>0.18263734027724918</v>
      </c>
      <c r="J5" s="32">
        <f>2855906.34/6555432.74</f>
        <v>0.4356548916403038</v>
      </c>
      <c r="K5" s="32">
        <f>1473880.37/6555432.74</f>
        <v>0.22483342114192756</v>
      </c>
      <c r="L5" s="32">
        <f>1028379.23/6555432.74</f>
        <v>0.15687434694051944</v>
      </c>
      <c r="M5" s="11">
        <f>(I5*C5+J5*D5+K5*E5+L5*F5)*N5</f>
        <v>5800871.2502264529</v>
      </c>
      <c r="N5" s="8">
        <v>6555432.75</v>
      </c>
      <c r="O5" s="19"/>
      <c r="P5" s="21"/>
    </row>
    <row r="6" spans="2:21" x14ac:dyDescent="0.25">
      <c r="B6" s="7" t="s">
        <v>35</v>
      </c>
      <c r="C6" s="10">
        <f>AVERAGE('Uberlândia SBUL'!H4:H13)</f>
        <v>0.85500000000000009</v>
      </c>
      <c r="D6" s="10">
        <f>AVERAGE('Uberlândia SBUL'!H14:H33)</f>
        <v>0.89450000000000007</v>
      </c>
      <c r="E6" s="10">
        <f>AVERAGE('Uberlândia SBUL'!H34:H41)</f>
        <v>0.99125000000000008</v>
      </c>
      <c r="F6" s="10">
        <f>AVERAGE('Uberlândia SBUL'!H42:H51)</f>
        <v>0.86799999999999999</v>
      </c>
      <c r="G6" s="78">
        <f>AVERAGE('Uberlândia SBUL'!H4:H51)</f>
        <v>0.8968750000000002</v>
      </c>
      <c r="I6" s="32">
        <f>767187.19/3970398.11</f>
        <v>0.19322676687451878</v>
      </c>
      <c r="J6" s="32">
        <f>1627533.26/3970398.11</f>
        <v>0.40991689369910567</v>
      </c>
      <c r="K6" s="32">
        <f>979113.78/3970398.11</f>
        <v>0.24660342687902398</v>
      </c>
      <c r="L6" s="32">
        <f>596563.88/3970398.11</f>
        <v>0.1502529125473516</v>
      </c>
      <c r="M6" s="11">
        <f t="shared" ref="M6:M9" si="0">(I6*C6+J6*D6+K6*E6+L6*F6)*N6</f>
        <v>3600137.530785</v>
      </c>
      <c r="N6" s="8">
        <v>3970398.11</v>
      </c>
      <c r="O6" s="19"/>
      <c r="P6" s="48"/>
      <c r="Q6" s="48"/>
      <c r="R6" s="48"/>
      <c r="S6" s="48"/>
      <c r="T6" s="48"/>
    </row>
    <row r="7" spans="2:21" x14ac:dyDescent="0.25">
      <c r="B7" s="7" t="s">
        <v>36</v>
      </c>
      <c r="C7" s="10">
        <f>AVERAGE('Montes Claros SBMK'!H4:H13)</f>
        <v>0.84899999999999998</v>
      </c>
      <c r="D7" s="10">
        <f>AVERAGE('Montes Claros SBMK'!H14:H33)</f>
        <v>0.9265000000000001</v>
      </c>
      <c r="E7" s="10">
        <f>AVERAGE('Montes Claros SBMK'!H34:H41)</f>
        <v>0.9537500000000001</v>
      </c>
      <c r="F7" s="10">
        <f>AVERAGE('Montes Claros SBMK'!H42:H51)</f>
        <v>0.90299999999999991</v>
      </c>
      <c r="G7" s="78">
        <f>AVERAGE('Montes Claros SBMK'!H4:H51)</f>
        <v>0.90999999999999981</v>
      </c>
      <c r="I7" s="32">
        <f>626912.87/3702591.09</f>
        <v>0.16931733879368246</v>
      </c>
      <c r="J7" s="32">
        <f>1604627.45/3702591.09</f>
        <v>0.43337960120246494</v>
      </c>
      <c r="K7" s="32">
        <f>874486.89/3702591.09</f>
        <v>0.23618241084245684</v>
      </c>
      <c r="L7" s="32">
        <f>596563.88/3702591.09</f>
        <v>0.16112064916139579</v>
      </c>
      <c r="M7" s="11">
        <f t="shared" si="0"/>
        <v>3391675.4140325002</v>
      </c>
      <c r="N7" s="8">
        <v>3702591.09</v>
      </c>
      <c r="O7" s="19"/>
    </row>
    <row r="8" spans="2:21" x14ac:dyDescent="0.25">
      <c r="B8" s="7" t="s">
        <v>37</v>
      </c>
      <c r="C8" s="10">
        <f>AVERAGE('Uberaba SBUR'!H4:H13)</f>
        <v>0.85</v>
      </c>
      <c r="D8" s="10">
        <f>AVERAGE('Uberaba SBUR'!H14:H33)</f>
        <v>0.91550000000000009</v>
      </c>
      <c r="E8" s="10">
        <f>AVERAGE('Uberaba SBUR'!H34:H41)</f>
        <v>0.99375000000000002</v>
      </c>
      <c r="F8" s="10">
        <f>AVERAGE('Uberaba SBUR'!H42:H51)</f>
        <v>0.90299999999999991</v>
      </c>
      <c r="G8" s="78">
        <f>AVERAGE('Uberaba SBUR'!H4:H51)</f>
        <v>0.91229166666666683</v>
      </c>
      <c r="I8" s="32">
        <f>626912.87/3039915.33</f>
        <v>0.20622708264706832</v>
      </c>
      <c r="J8" s="32">
        <f>1149458.85/3039915.33</f>
        <v>0.3781219952596509</v>
      </c>
      <c r="K8" s="32">
        <f>666979.73/3039915.33</f>
        <v>0.21940733790108555</v>
      </c>
      <c r="L8" s="32">
        <f>596563.88/3039915.33</f>
        <v>0.19624358419219523</v>
      </c>
      <c r="M8" s="11">
        <f t="shared" si="0"/>
        <v>2786713.8070025002</v>
      </c>
      <c r="N8" s="8">
        <v>3039915.33</v>
      </c>
      <c r="O8" s="19"/>
    </row>
    <row r="9" spans="2:21" x14ac:dyDescent="0.25">
      <c r="B9" s="7" t="s">
        <v>38</v>
      </c>
      <c r="C9" s="10">
        <f>AVERAGE('Jacarepaguá SBJR'!H4:H13)</f>
        <v>0.92099999999999993</v>
      </c>
      <c r="D9" s="10">
        <f>AVERAGE('Jacarepaguá SBJR'!H14:H33)</f>
        <v>0.93950000000000011</v>
      </c>
      <c r="E9" s="10">
        <f>AVERAGE('Jacarepaguá SBJR'!H34:H41)</f>
        <v>0.99375000000000002</v>
      </c>
      <c r="F9" s="10">
        <f>AVERAGE('Jacarepaguá SBJR'!H42:H51)</f>
        <v>0.87200000000000011</v>
      </c>
      <c r="G9" s="78">
        <f>AVERAGE('Jacarepaguá SBJR'!H4:H51)</f>
        <v>0.93062500000000015</v>
      </c>
      <c r="I9" s="32">
        <f>626912.87/3238642.7</f>
        <v>0.19357271797842965</v>
      </c>
      <c r="J9" s="32">
        <f>1260548.3/3238642.7</f>
        <v>0.38922116972026582</v>
      </c>
      <c r="K9" s="32">
        <f>754617.65/3238642.7</f>
        <v>0.23300429219932164</v>
      </c>
      <c r="L9" s="32">
        <f>596563.88/3238642.7</f>
        <v>0.18420182010198283</v>
      </c>
      <c r="M9" s="11">
        <f t="shared" si="0"/>
        <v>3031776.8741675001</v>
      </c>
      <c r="N9" s="8">
        <v>3238642.7</v>
      </c>
      <c r="O9" s="19"/>
    </row>
    <row r="10" spans="2:21" x14ac:dyDescent="0.25">
      <c r="B10" s="7" t="s">
        <v>31</v>
      </c>
      <c r="C10" s="10"/>
      <c r="D10" s="10"/>
      <c r="E10" s="10"/>
      <c r="F10" s="10"/>
      <c r="G10" s="78">
        <f>AVERAGE(G5:G9)</f>
        <v>0.90491666666666681</v>
      </c>
      <c r="I10" s="31"/>
      <c r="J10" s="10"/>
      <c r="K10" s="10"/>
      <c r="L10" s="10"/>
      <c r="M10" s="11">
        <f>SUM(M5:M9)</f>
        <v>18611174.876213953</v>
      </c>
      <c r="N10" s="8">
        <f>SUM(N5:N9)</f>
        <v>20506979.98</v>
      </c>
    </row>
    <row r="11" spans="2:21" x14ac:dyDescent="0.25">
      <c r="B11" s="23"/>
      <c r="C11" s="24"/>
      <c r="D11" s="24"/>
      <c r="E11" s="24"/>
      <c r="F11" s="24"/>
      <c r="G11" s="79"/>
      <c r="I11" s="23"/>
      <c r="J11" s="24"/>
      <c r="K11" s="24"/>
      <c r="L11" s="24"/>
      <c r="M11" s="24"/>
      <c r="N11" s="25"/>
      <c r="O11" s="19"/>
    </row>
    <row r="12" spans="2:21" x14ac:dyDescent="0.25">
      <c r="B12" s="7" t="s">
        <v>39</v>
      </c>
      <c r="C12" s="10">
        <f>AVERAGE('Belém SBBE'!H4:H13)</f>
        <v>0.82199999999999984</v>
      </c>
      <c r="D12" s="10">
        <f>AVERAGE('Belém SBBE'!H14:H33)</f>
        <v>0.90649999999999997</v>
      </c>
      <c r="E12" s="10">
        <f>AVERAGE('Belém SBBE'!H34:H41)</f>
        <v>1</v>
      </c>
      <c r="F12" s="10">
        <f>AVERAGE('Belém SBBE'!H42:H51)</f>
        <v>0.87099999999999989</v>
      </c>
      <c r="G12" s="78">
        <f>AVERAGE('Belém SBBE'!H4:H51)</f>
        <v>0.89708333333333334</v>
      </c>
      <c r="I12" s="32">
        <f>1197266.8/6371033.75</f>
        <v>0.1879234747422269</v>
      </c>
      <c r="J12" s="33">
        <f>2727932.6/6371033.75</f>
        <v>0.42817738957983076</v>
      </c>
      <c r="K12" s="33">
        <f>1417455.12/6371033.75</f>
        <v>0.22248432132383542</v>
      </c>
      <c r="L12" s="33">
        <f>1028379.23/6371033.75</f>
        <v>0.16141481435410698</v>
      </c>
      <c r="M12" s="11">
        <f t="shared" ref="M12:M17" si="1">(I12*C12+J12*D12+K12*E12+L12*F12)*N12</f>
        <v>5770197.6408299999</v>
      </c>
      <c r="N12" s="8">
        <v>6371033.75</v>
      </c>
      <c r="O12" s="19"/>
    </row>
    <row r="13" spans="2:21" x14ac:dyDescent="0.25">
      <c r="B13" s="7" t="s">
        <v>40</v>
      </c>
      <c r="C13" s="10">
        <f>AVERAGE('Macapá SBMQ'!H4:H13)</f>
        <v>0.85300000000000009</v>
      </c>
      <c r="D13" s="10">
        <f>AVERAGE('Macapá SBMQ'!H14:H33)</f>
        <v>0.95299999999999996</v>
      </c>
      <c r="E13" s="10">
        <f>AVERAGE('Macapá SBMQ'!H34:H41)</f>
        <v>1</v>
      </c>
      <c r="F13" s="10">
        <f>AVERAGE('Macapá SBMQ'!H42:H51)</f>
        <v>0.90799999999999981</v>
      </c>
      <c r="G13" s="78">
        <f>AVERAGE('Macapá SBMQ'!H4:H51)</f>
        <v>0.93062500000000015</v>
      </c>
      <c r="I13" s="32">
        <f>626912.87/3248114.47</f>
        <v>0.19300824394898863</v>
      </c>
      <c r="J13" s="33">
        <f>1220825.23/3248114.47</f>
        <v>0.37585659042367431</v>
      </c>
      <c r="K13" s="33">
        <f>803812.49/3248114.47</f>
        <v>0.2474704932428074</v>
      </c>
      <c r="L13" s="33">
        <f>596563.88/3248114.47</f>
        <v>0.1836646723845296</v>
      </c>
      <c r="M13" s="11">
        <f t="shared" si="1"/>
        <v>3043695.6153399996</v>
      </c>
      <c r="N13" s="8">
        <v>3248114.47</v>
      </c>
      <c r="O13" s="19"/>
      <c r="P13" s="48"/>
      <c r="Q13" s="48"/>
      <c r="R13" s="48"/>
      <c r="S13" s="48"/>
      <c r="T13" s="48"/>
      <c r="U13" s="48"/>
    </row>
    <row r="14" spans="2:21" x14ac:dyDescent="0.25">
      <c r="B14" s="7" t="s">
        <v>41</v>
      </c>
      <c r="C14" s="10">
        <f>AVERAGE('Santarém SBSN'!H4:H13)</f>
        <v>0.84599999999999986</v>
      </c>
      <c r="D14" s="10">
        <f>AVERAGE('Santarém SBSN'!H14:H33)</f>
        <v>0.91949999999999998</v>
      </c>
      <c r="E14" s="10">
        <f>AVERAGE('Santarém SBSN'!H34:H41)</f>
        <v>1</v>
      </c>
      <c r="F14" s="10">
        <f>AVERAGE('Santarém SBSN'!H42:H51)</f>
        <v>0.89399999999999979</v>
      </c>
      <c r="G14" s="78">
        <f>AVERAGE('Santarém SBSN'!H4:H51)</f>
        <v>0.9122916666666665</v>
      </c>
      <c r="I14" s="32">
        <f>626912.87/3656560.45</f>
        <v>0.17144879144552361</v>
      </c>
      <c r="J14" s="33">
        <f>1410960.62/3656560.45</f>
        <v>0.38587099524089641</v>
      </c>
      <c r="K14" s="33">
        <f>1022123.08/3656560.45</f>
        <v>0.27953129559228262</v>
      </c>
      <c r="L14" s="33">
        <f>596563.88/3656560.45</f>
        <v>0.16314891772129733</v>
      </c>
      <c r="M14" s="11">
        <f t="shared" si="1"/>
        <v>3383197.7575775944</v>
      </c>
      <c r="N14" s="8">
        <v>3656560.44</v>
      </c>
    </row>
    <row r="15" spans="2:21" x14ac:dyDescent="0.25">
      <c r="B15" s="7" t="s">
        <v>42</v>
      </c>
      <c r="C15" s="10">
        <f>AVERAGE('Marabá SBMA'!H4:H13)</f>
        <v>0.84700000000000009</v>
      </c>
      <c r="D15" s="10">
        <f>AVERAGE('Marabá SBMA'!H14:H33)</f>
        <v>0.95550000000000002</v>
      </c>
      <c r="E15" s="10">
        <f>AVERAGE('Marabá SBMA'!H34:H41)</f>
        <v>1</v>
      </c>
      <c r="F15" s="10">
        <f>AVERAGE('Marabá SBMA'!H42:H51)</f>
        <v>0.89599999999999991</v>
      </c>
      <c r="G15" s="78">
        <f>AVERAGE('Marabá SBMA'!H4:H51)</f>
        <v>0.92791666666666661</v>
      </c>
      <c r="I15" s="32">
        <f>626912.87/3612326.11</f>
        <v>0.17354824866573301</v>
      </c>
      <c r="J15" s="33">
        <f>1410960.62/3612326.11</f>
        <v>0.39059613585109021</v>
      </c>
      <c r="K15" s="33">
        <f>977888.74/3612326.11</f>
        <v>0.27070887572772329</v>
      </c>
      <c r="L15" s="33">
        <v>0.1651</v>
      </c>
      <c r="M15" s="11">
        <f t="shared" si="1"/>
        <v>3391426.7698218562</v>
      </c>
      <c r="N15" s="8">
        <v>3612326.11</v>
      </c>
      <c r="O15" s="19"/>
    </row>
    <row r="16" spans="2:21" x14ac:dyDescent="0.25">
      <c r="B16" s="7" t="s">
        <v>43</v>
      </c>
      <c r="C16" s="10">
        <f>AVERAGE('Parauapebas SBCJ'!H4:H13)</f>
        <v>0.85</v>
      </c>
      <c r="D16" s="10">
        <f>AVERAGE('Parauapebas SBCJ'!H14:H33)</f>
        <v>0.9255000000000001</v>
      </c>
      <c r="E16" s="10">
        <f>AVERAGE('Parauapebas SBCJ'!H34:H41)</f>
        <v>0.98750000000000004</v>
      </c>
      <c r="F16" s="10">
        <f>AVERAGE('Parauapebas SBCJ'!H42:H51)</f>
        <v>0.9009999999999998</v>
      </c>
      <c r="G16" s="78">
        <f>AVERAGE('Parauapebas SBCJ'!H4:H51)</f>
        <v>0.91499999999999992</v>
      </c>
      <c r="I16" s="32">
        <f>626912.87/3504712.78</f>
        <v>0.17887710330431131</v>
      </c>
      <c r="J16" s="33">
        <f>1410960.62/3504712.78</f>
        <v>0.40258951548092342</v>
      </c>
      <c r="K16" s="33">
        <f>870275.41/3504712.78</f>
        <v>0.24831575784649607</v>
      </c>
      <c r="L16" s="33">
        <f>596563.88/3504712.78</f>
        <v>0.17021762336826929</v>
      </c>
      <c r="M16" s="11">
        <f t="shared" si="1"/>
        <v>3235621.0165650006</v>
      </c>
      <c r="N16" s="8">
        <v>3504712.7800000003</v>
      </c>
      <c r="O16" s="19"/>
    </row>
    <row r="17" spans="2:20" x14ac:dyDescent="0.25">
      <c r="B17" s="7" t="s">
        <v>44</v>
      </c>
      <c r="C17" s="10">
        <f>AVERAGE('Altamira SBHT'!H4:H13)</f>
        <v>0.85799999999999998</v>
      </c>
      <c r="D17" s="10">
        <f>AVERAGE('Altamira SBHT'!H14:H33)</f>
        <v>0.95399999999999996</v>
      </c>
      <c r="E17" s="10">
        <f>AVERAGE('Altamira SBHT'!H34:H41)</f>
        <v>1</v>
      </c>
      <c r="F17" s="10">
        <f>AVERAGE('Altamira SBHT'!H42:H51)</f>
        <v>0.91099999999999992</v>
      </c>
      <c r="G17" s="78">
        <f>AVERAGE('Altamira SBHT'!H4:H51)</f>
        <v>0.93270833333333325</v>
      </c>
      <c r="I17" s="32">
        <f>626912.87/3077831.63</f>
        <v>0.20368653823991015</v>
      </c>
      <c r="J17" s="33">
        <f>1110135.95/3077831.63</f>
        <v>0.36068767998202683</v>
      </c>
      <c r="K17" s="33">
        <f>744218.93/3077831.63</f>
        <v>0.24179975367918358</v>
      </c>
      <c r="L17" s="33">
        <f>596563.88/3077831.63</f>
        <v>0.19382602809887947</v>
      </c>
      <c r="M17" s="11">
        <f t="shared" si="1"/>
        <v>2884649.5634399997</v>
      </c>
      <c r="N17" s="8">
        <v>3077831.63</v>
      </c>
      <c r="O17" s="19"/>
    </row>
    <row r="18" spans="2:20" x14ac:dyDescent="0.25">
      <c r="B18" s="7" t="s">
        <v>32</v>
      </c>
      <c r="C18" s="10"/>
      <c r="D18" s="10"/>
      <c r="E18" s="10"/>
      <c r="F18" s="10"/>
      <c r="G18" s="78">
        <f>AVERAGE(G12:G17)</f>
        <v>0.91927083333333337</v>
      </c>
      <c r="I18" s="7"/>
      <c r="J18" s="10"/>
      <c r="K18" s="10"/>
      <c r="L18" s="10"/>
      <c r="M18" s="11">
        <f>SUM(M12:M17)</f>
        <v>21708788.363574449</v>
      </c>
      <c r="N18" s="8">
        <f>SUM(N12:N17)</f>
        <v>23470579.18</v>
      </c>
      <c r="O18" s="19"/>
    </row>
    <row r="19" spans="2:20" x14ac:dyDescent="0.25">
      <c r="B19" s="23"/>
      <c r="C19" s="24"/>
      <c r="D19" s="24"/>
      <c r="E19" s="24"/>
      <c r="F19" s="24"/>
      <c r="G19" s="79"/>
      <c r="I19" s="23"/>
      <c r="J19" s="24"/>
      <c r="K19" s="24"/>
      <c r="L19" s="24"/>
      <c r="M19" s="24"/>
      <c r="N19" s="25"/>
      <c r="O19" s="19"/>
    </row>
    <row r="20" spans="2:20" x14ac:dyDescent="0.25">
      <c r="B20" s="7" t="s">
        <v>45</v>
      </c>
      <c r="C20" s="10">
        <f>AVERAGE('São Paulo SBSP'!H4:H13)</f>
        <v>0.79200000000000004</v>
      </c>
      <c r="D20" s="10">
        <f>AVERAGE('São Paulo SBSP'!H14:H33)</f>
        <v>0.85350000000000004</v>
      </c>
      <c r="E20" s="10">
        <f>AVERAGE('São Paulo SBSP'!H34:H41)</f>
        <v>0.98750000000000004</v>
      </c>
      <c r="F20" s="10">
        <f>AVERAGE('São Paulo SBSP'!H42:H51)</f>
        <v>0.82599999999999996</v>
      </c>
      <c r="G20" s="78">
        <f>AVERAGE('São Paulo SBSP'!H4:H51)</f>
        <v>0.85729166666666667</v>
      </c>
      <c r="I20" s="32">
        <f>1197266.8/7858587.26</f>
        <v>0.15235140367964814</v>
      </c>
      <c r="J20" s="33">
        <f>3671493.6/7858587.26</f>
        <v>0.46719511771381672</v>
      </c>
      <c r="K20" s="33">
        <v>0.24959999999999999</v>
      </c>
      <c r="L20" s="33">
        <f>1028379.23/7858587.26</f>
        <v>0.130860572769157</v>
      </c>
      <c r="M20" s="11">
        <f t="shared" ref="M20:M24" si="2">(I20*C20+J20*D20+K20*E20+L20*F20)*N20</f>
        <v>6868280.9250248009</v>
      </c>
      <c r="N20" s="8">
        <v>7858587.2599999998</v>
      </c>
      <c r="O20" s="19"/>
    </row>
    <row r="21" spans="2:20" x14ac:dyDescent="0.25">
      <c r="B21" s="7" t="s">
        <v>46</v>
      </c>
      <c r="C21" s="10">
        <f>AVERAGE('Campo Grande SBCG'!H4:H13)</f>
        <v>0.84199999999999997</v>
      </c>
      <c r="D21" s="10">
        <f>AVERAGE('Campo Grande SBCG'!H14:H33)</f>
        <v>0.91750000000000009</v>
      </c>
      <c r="E21" s="10">
        <f>AVERAGE('Campo Grande SBCG'!H34:H41)</f>
        <v>0.98750000000000004</v>
      </c>
      <c r="F21" s="10">
        <f>AVERAGE('Campo Grande SBCG'!H42:H51)</f>
        <v>0.88300000000000001</v>
      </c>
      <c r="G21" s="78">
        <f>AVERAGE('Campo Grande SBCG'!H4:H51)</f>
        <v>0.90625000000000011</v>
      </c>
      <c r="I21" s="32">
        <f>767187.19/4249176.64</f>
        <v>0.1805496111359588</v>
      </c>
      <c r="J21" s="33">
        <f>1815723.11/4249176.64</f>
        <v>0.42731175091840856</v>
      </c>
      <c r="K21" s="33">
        <f>1069702.46/4249176.64</f>
        <v>0.25174346717673757</v>
      </c>
      <c r="L21" s="33">
        <f>596563.88/4249176.64</f>
        <v>0.14039517076889513</v>
      </c>
      <c r="M21" s="11">
        <f t="shared" si="2"/>
        <v>3894994.6526950002</v>
      </c>
      <c r="N21" s="8">
        <v>4249176.6399999997</v>
      </c>
      <c r="O21" s="19"/>
      <c r="P21" s="48"/>
      <c r="Q21" s="48"/>
      <c r="R21" s="48"/>
      <c r="S21" s="48"/>
      <c r="T21" s="48"/>
    </row>
    <row r="22" spans="2:20" x14ac:dyDescent="0.25">
      <c r="B22" s="7" t="s">
        <v>47</v>
      </c>
      <c r="C22" s="10">
        <f>AVERAGE('Campo de Marte SBMT'!H4:H13)</f>
        <v>0.93799999999999994</v>
      </c>
      <c r="D22" s="10">
        <f>AVERAGE('Campo de Marte SBMT'!H14:H33)</f>
        <v>0.9375</v>
      </c>
      <c r="E22" s="10">
        <f>AVERAGE('Campo de Marte SBMT'!H34:H41)</f>
        <v>0.99375000000000002</v>
      </c>
      <c r="F22" s="10">
        <f>AVERAGE('Campo de Marte SBMT'!H42:H51)</f>
        <v>0.86599999999999999</v>
      </c>
      <c r="G22" s="78">
        <f>AVERAGE('Campo de Marte SBMT'!H4:H51)</f>
        <v>0.93208333333333326</v>
      </c>
      <c r="I22" s="32">
        <f>626912.87/3178930.19</f>
        <v>0.19720875657228573</v>
      </c>
      <c r="J22" s="33">
        <f>1260548.3/3178930.19</f>
        <v>0.39653223715491531</v>
      </c>
      <c r="K22" s="33">
        <f>694905.14/3178930.19</f>
        <v>0.21859716900546344</v>
      </c>
      <c r="L22" s="33">
        <f>596563.88/3178930.19</f>
        <v>0.18766183726733554</v>
      </c>
      <c r="M22" s="11">
        <f t="shared" si="2"/>
        <v>2976994.6062649996</v>
      </c>
      <c r="N22" s="8">
        <v>3178930.19</v>
      </c>
      <c r="O22" s="19"/>
    </row>
    <row r="23" spans="2:20" x14ac:dyDescent="0.25">
      <c r="B23" s="37" t="s">
        <v>49</v>
      </c>
      <c r="C23" s="10">
        <f>AVERAGE('Corumbá SBCR'!H4:H13)</f>
        <v>0.84400000000000008</v>
      </c>
      <c r="D23" s="10">
        <f>AVERAGE('Corumbá SBCR'!H14:H33)</f>
        <v>0.92599999999999993</v>
      </c>
      <c r="E23" s="10">
        <f>AVERAGE('Corumbá SBCR'!H34:H41)</f>
        <v>0.99375000000000002</v>
      </c>
      <c r="F23" s="10">
        <f>AVERAGE('Corumbá SBCR'!H42:H51)</f>
        <v>0.92099999999999993</v>
      </c>
      <c r="G23" s="77">
        <f>AVERAGE('Corumbá SBCR'!H4:H51)</f>
        <v>0.9191666666666668</v>
      </c>
      <c r="I23" s="38">
        <f>626912.87/2893791.94</f>
        <v>0.21664061653306008</v>
      </c>
      <c r="J23" s="39">
        <f>1034929.79/2893791.94</f>
        <v>0.35763794061849519</v>
      </c>
      <c r="K23" s="39">
        <f>635385.4/2893791.94</f>
        <v>0.21956844623736149</v>
      </c>
      <c r="L23" s="39">
        <f>596563.88/2893791.94</f>
        <v>0.20615299661108324</v>
      </c>
      <c r="M23" s="11">
        <f t="shared" si="2"/>
        <v>2668309.0225500003</v>
      </c>
      <c r="N23" s="8">
        <v>2893791.9400000004</v>
      </c>
      <c r="O23" s="19"/>
    </row>
    <row r="24" spans="2:20" x14ac:dyDescent="0.25">
      <c r="B24" s="37" t="s">
        <v>48</v>
      </c>
      <c r="C24" s="10">
        <f>AVERAGE('Ponta Porã SBPP'!H4:H13)</f>
        <v>0.82300000000000006</v>
      </c>
      <c r="D24" s="10">
        <f>AVERAGE('Ponta Porã SBPP'!H14:H33)</f>
        <v>0.91400000000000003</v>
      </c>
      <c r="E24" s="10">
        <f>AVERAGE('Ponta Porã SBPP'!H34:H41)</f>
        <v>0.98750000000000004</v>
      </c>
      <c r="F24" s="10">
        <f>AVERAGE('Ponta Porã SBPP'!H42:H51)</f>
        <v>0.92099999999999993</v>
      </c>
      <c r="G24" s="77">
        <f>AVERAGE('Ponta Porã SBPP'!H4:H51)</f>
        <v>0.90874999999999995</v>
      </c>
      <c r="I24" s="38">
        <f>626912.87/3587978.3</f>
        <v>0.17472593688763391</v>
      </c>
      <c r="J24" s="39">
        <f>1410690.62/3587978.3</f>
        <v>0.39317144699565215</v>
      </c>
      <c r="K24" s="39">
        <f>953540.93/3587978.3</f>
        <v>0.26575994899411742</v>
      </c>
      <c r="L24" s="39">
        <f>596563.88/3587978.3</f>
        <v>0.16626741583136109</v>
      </c>
      <c r="M24" s="11">
        <f t="shared" si="2"/>
        <v>3296377.5205450002</v>
      </c>
      <c r="N24" s="8">
        <v>3587978.3</v>
      </c>
      <c r="O24" s="19"/>
    </row>
    <row r="25" spans="2:20" ht="15.75" thickBot="1" x14ac:dyDescent="0.3">
      <c r="B25" s="9" t="s">
        <v>33</v>
      </c>
      <c r="C25" s="10"/>
      <c r="D25" s="10"/>
      <c r="E25" s="10"/>
      <c r="F25" s="10"/>
      <c r="G25" s="80">
        <f>AVERAGE(G20:G24)</f>
        <v>0.90470833333333334</v>
      </c>
      <c r="I25" s="9"/>
      <c r="J25" s="17"/>
      <c r="K25" s="17"/>
      <c r="L25" s="17"/>
      <c r="M25" s="12">
        <f>SUM(M20:M24)</f>
        <v>19704956.727079801</v>
      </c>
      <c r="N25" s="30">
        <f>SUM(N20:N24)</f>
        <v>21768464.329999998</v>
      </c>
    </row>
    <row r="26" spans="2:20" s="26" customFormat="1" x14ac:dyDescent="0.25">
      <c r="C26" s="27"/>
      <c r="D26" s="27"/>
      <c r="E26" s="27"/>
      <c r="F26" s="27"/>
      <c r="G26" s="81"/>
      <c r="I26" s="28"/>
      <c r="J26" s="28"/>
      <c r="K26" s="28"/>
      <c r="L26" s="28"/>
      <c r="M26" s="29"/>
      <c r="N26" s="29"/>
    </row>
  </sheetData>
  <mergeCells count="4">
    <mergeCell ref="B2:G2"/>
    <mergeCell ref="I2:N2"/>
    <mergeCell ref="I3:N3"/>
    <mergeCell ref="B3:G3"/>
  </mergeCells>
  <pageMargins left="0.511811024" right="0.511811024" top="0.78740157499999996" bottom="0.78740157499999996" header="0.31496062000000002" footer="0.31496062000000002"/>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1"/>
  <sheetViews>
    <sheetView zoomScaleNormal="100" workbookViewId="0">
      <pane xSplit="4" ySplit="3" topLeftCell="E50" activePane="bottomRight" state="frozen"/>
      <selection pane="topRight" activeCell="E1" sqref="E1"/>
      <selection pane="bottomLeft" activeCell="A4" sqref="A4"/>
      <selection pane="bottomRight" activeCell="G58" sqref="G58"/>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94.5" x14ac:dyDescent="0.25">
      <c r="A4" s="45">
        <v>1</v>
      </c>
      <c r="B4" s="40" t="s">
        <v>3</v>
      </c>
      <c r="C4" s="40" t="s">
        <v>4</v>
      </c>
      <c r="D4" s="40" t="s">
        <v>61</v>
      </c>
      <c r="F4" s="63">
        <v>1</v>
      </c>
      <c r="G4" s="64">
        <v>0.97</v>
      </c>
      <c r="H4" s="61">
        <f>F4*G4</f>
        <v>0.97</v>
      </c>
      <c r="I4" s="65" t="s">
        <v>337</v>
      </c>
    </row>
    <row r="5" spans="1:9" ht="409.5" x14ac:dyDescent="0.25">
      <c r="A5" s="46">
        <v>2</v>
      </c>
      <c r="B5" s="20" t="s">
        <v>3</v>
      </c>
      <c r="C5" s="20" t="s">
        <v>4</v>
      </c>
      <c r="D5" s="20" t="s">
        <v>62</v>
      </c>
      <c r="F5" s="59">
        <v>1</v>
      </c>
      <c r="G5" s="60">
        <v>0.82</v>
      </c>
      <c r="H5" s="61">
        <f t="shared" ref="H5:H41" si="0">F5*G5</f>
        <v>0.82</v>
      </c>
      <c r="I5" s="54" t="s">
        <v>381</v>
      </c>
    </row>
    <row r="6" spans="1:9" ht="409.5" x14ac:dyDescent="0.25">
      <c r="A6" s="46">
        <v>3</v>
      </c>
      <c r="B6" s="20" t="s">
        <v>3</v>
      </c>
      <c r="C6" s="20" t="s">
        <v>4</v>
      </c>
      <c r="D6" s="20" t="s">
        <v>63</v>
      </c>
      <c r="F6" s="63">
        <v>1</v>
      </c>
      <c r="G6" s="64">
        <v>0.83</v>
      </c>
      <c r="H6" s="61">
        <f t="shared" si="0"/>
        <v>0.83</v>
      </c>
      <c r="I6" s="54" t="s">
        <v>382</v>
      </c>
    </row>
    <row r="7" spans="1:9" ht="345" x14ac:dyDescent="0.25">
      <c r="A7" s="46">
        <v>4</v>
      </c>
      <c r="B7" s="20" t="s">
        <v>3</v>
      </c>
      <c r="C7" s="20" t="s">
        <v>4</v>
      </c>
      <c r="D7" s="20" t="s">
        <v>64</v>
      </c>
      <c r="F7" s="63">
        <v>1</v>
      </c>
      <c r="G7" s="64">
        <v>0.9</v>
      </c>
      <c r="H7" s="61">
        <f t="shared" si="0"/>
        <v>0.9</v>
      </c>
      <c r="I7" s="54" t="s">
        <v>340</v>
      </c>
    </row>
    <row r="8" spans="1:9" ht="409.5" x14ac:dyDescent="0.25">
      <c r="A8" s="46">
        <v>5</v>
      </c>
      <c r="B8" s="20" t="s">
        <v>3</v>
      </c>
      <c r="C8" s="20" t="s">
        <v>4</v>
      </c>
      <c r="D8" s="20" t="s">
        <v>65</v>
      </c>
      <c r="F8" s="63">
        <v>1</v>
      </c>
      <c r="G8" s="64">
        <v>0.74</v>
      </c>
      <c r="H8" s="61">
        <f t="shared" si="0"/>
        <v>0.74</v>
      </c>
      <c r="I8" s="54" t="s">
        <v>341</v>
      </c>
    </row>
    <row r="9" spans="1:9" s="36" customFormat="1" ht="409.5" x14ac:dyDescent="0.25">
      <c r="A9" s="47">
        <v>6</v>
      </c>
      <c r="B9" s="35" t="s">
        <v>3</v>
      </c>
      <c r="C9" s="35" t="s">
        <v>4</v>
      </c>
      <c r="D9" s="35" t="s">
        <v>66</v>
      </c>
      <c r="F9" s="63">
        <v>1</v>
      </c>
      <c r="G9" s="64">
        <v>0.73</v>
      </c>
      <c r="H9" s="61">
        <f t="shared" si="0"/>
        <v>0.73</v>
      </c>
      <c r="I9" s="58" t="s">
        <v>383</v>
      </c>
    </row>
    <row r="10" spans="1:9" ht="195" x14ac:dyDescent="0.25">
      <c r="A10" s="46">
        <v>7</v>
      </c>
      <c r="B10" s="20" t="s">
        <v>3</v>
      </c>
      <c r="C10" s="20" t="s">
        <v>4</v>
      </c>
      <c r="D10" s="20" t="s">
        <v>67</v>
      </c>
      <c r="F10" s="63">
        <v>1</v>
      </c>
      <c r="G10" s="64">
        <v>0.8</v>
      </c>
      <c r="H10" s="61">
        <f t="shared" si="0"/>
        <v>0.8</v>
      </c>
      <c r="I10" s="54" t="s">
        <v>384</v>
      </c>
    </row>
    <row r="11" spans="1:9" ht="409.5" x14ac:dyDescent="0.25">
      <c r="A11" s="46">
        <v>8</v>
      </c>
      <c r="B11" s="20" t="s">
        <v>3</v>
      </c>
      <c r="C11" s="20" t="s">
        <v>4</v>
      </c>
      <c r="D11" s="20" t="s">
        <v>68</v>
      </c>
      <c r="F11" s="63">
        <v>1</v>
      </c>
      <c r="G11" s="64">
        <v>0.87</v>
      </c>
      <c r="H11" s="61">
        <f t="shared" si="0"/>
        <v>0.87</v>
      </c>
      <c r="I11" s="55" t="s">
        <v>385</v>
      </c>
    </row>
    <row r="12" spans="1:9" ht="120" x14ac:dyDescent="0.25">
      <c r="A12" s="46">
        <v>9</v>
      </c>
      <c r="B12" s="20" t="s">
        <v>3</v>
      </c>
      <c r="C12" s="20" t="s">
        <v>4</v>
      </c>
      <c r="D12" s="20" t="s">
        <v>69</v>
      </c>
      <c r="F12" s="63">
        <v>1</v>
      </c>
      <c r="G12" s="64">
        <v>0.84</v>
      </c>
      <c r="H12" s="61">
        <f t="shared" si="0"/>
        <v>0.84</v>
      </c>
      <c r="I12" s="54" t="s">
        <v>370</v>
      </c>
    </row>
    <row r="13" spans="1:9" s="36" customFormat="1" ht="126" x14ac:dyDescent="0.25">
      <c r="A13" s="47">
        <v>10</v>
      </c>
      <c r="B13" s="35" t="s">
        <v>3</v>
      </c>
      <c r="C13" s="20" t="s">
        <v>4</v>
      </c>
      <c r="D13" s="35" t="s">
        <v>70</v>
      </c>
      <c r="F13" s="63">
        <v>1</v>
      </c>
      <c r="G13" s="64">
        <v>0.97</v>
      </c>
      <c r="H13" s="61">
        <f t="shared" si="0"/>
        <v>0.97</v>
      </c>
      <c r="I13" s="57" t="s">
        <v>380</v>
      </c>
    </row>
    <row r="14" spans="1:9" ht="195" x14ac:dyDescent="0.25">
      <c r="A14" s="46">
        <v>11</v>
      </c>
      <c r="B14" s="20" t="s">
        <v>25</v>
      </c>
      <c r="C14" s="20" t="s">
        <v>26</v>
      </c>
      <c r="D14" s="20" t="s">
        <v>71</v>
      </c>
      <c r="F14" s="63">
        <v>1</v>
      </c>
      <c r="G14" s="64">
        <v>0.96</v>
      </c>
      <c r="H14" s="61">
        <f t="shared" si="0"/>
        <v>0.96</v>
      </c>
      <c r="I14" s="54" t="s">
        <v>304</v>
      </c>
    </row>
    <row r="15" spans="1:9" ht="63" x14ac:dyDescent="0.25">
      <c r="A15" s="46">
        <v>12</v>
      </c>
      <c r="B15" s="20" t="s">
        <v>25</v>
      </c>
      <c r="C15" s="20" t="s">
        <v>26</v>
      </c>
      <c r="D15" s="20" t="s">
        <v>72</v>
      </c>
      <c r="F15" s="63">
        <v>1</v>
      </c>
      <c r="G15" s="64">
        <v>1</v>
      </c>
      <c r="H15" s="61">
        <f t="shared" si="0"/>
        <v>1</v>
      </c>
      <c r="I15" s="54" t="s">
        <v>100</v>
      </c>
    </row>
    <row r="16" spans="1:9" s="36" customFormat="1" ht="94.5" x14ac:dyDescent="0.25">
      <c r="A16" s="47">
        <v>13</v>
      </c>
      <c r="B16" s="35" t="s">
        <v>25</v>
      </c>
      <c r="C16" s="35" t="s">
        <v>26</v>
      </c>
      <c r="D16" s="35" t="s">
        <v>73</v>
      </c>
      <c r="F16" s="63">
        <v>1</v>
      </c>
      <c r="G16" s="64">
        <v>1</v>
      </c>
      <c r="H16" s="61">
        <f t="shared" si="0"/>
        <v>1</v>
      </c>
      <c r="I16" s="57" t="s">
        <v>100</v>
      </c>
    </row>
    <row r="17" spans="1:10" ht="63" x14ac:dyDescent="0.25">
      <c r="A17" s="46">
        <v>14</v>
      </c>
      <c r="B17" s="20" t="s">
        <v>25</v>
      </c>
      <c r="C17" s="20" t="s">
        <v>26</v>
      </c>
      <c r="D17" s="20" t="s">
        <v>74</v>
      </c>
      <c r="F17" s="63">
        <v>1</v>
      </c>
      <c r="G17" s="64">
        <v>1</v>
      </c>
      <c r="H17" s="61">
        <f t="shared" si="0"/>
        <v>1</v>
      </c>
      <c r="I17" s="54" t="s">
        <v>100</v>
      </c>
    </row>
    <row r="18" spans="1:10" ht="110.25" x14ac:dyDescent="0.25">
      <c r="A18" s="46">
        <v>15</v>
      </c>
      <c r="B18" s="20" t="s">
        <v>25</v>
      </c>
      <c r="C18" s="20" t="s">
        <v>26</v>
      </c>
      <c r="D18" s="20" t="s">
        <v>75</v>
      </c>
      <c r="F18" s="63">
        <v>1</v>
      </c>
      <c r="G18" s="64">
        <v>1</v>
      </c>
      <c r="H18" s="61">
        <f t="shared" si="0"/>
        <v>1</v>
      </c>
      <c r="I18" s="54" t="s">
        <v>100</v>
      </c>
    </row>
    <row r="19" spans="1:10" ht="47.25" x14ac:dyDescent="0.25">
      <c r="A19" s="46">
        <v>16</v>
      </c>
      <c r="B19" s="20" t="s">
        <v>5</v>
      </c>
      <c r="C19" s="40" t="s">
        <v>6</v>
      </c>
      <c r="D19" s="20" t="s">
        <v>76</v>
      </c>
      <c r="F19" s="63">
        <v>1</v>
      </c>
      <c r="G19" s="64">
        <v>1</v>
      </c>
      <c r="H19" s="61">
        <f t="shared" si="0"/>
        <v>1</v>
      </c>
      <c r="I19" s="54" t="s">
        <v>100</v>
      </c>
    </row>
    <row r="20" spans="1:10" ht="120" x14ac:dyDescent="0.25">
      <c r="A20" s="46">
        <v>17</v>
      </c>
      <c r="B20" s="20" t="s">
        <v>5</v>
      </c>
      <c r="C20" s="40" t="s">
        <v>6</v>
      </c>
      <c r="D20" s="20" t="s">
        <v>77</v>
      </c>
      <c r="F20" s="63">
        <v>1</v>
      </c>
      <c r="G20" s="64">
        <v>0.8</v>
      </c>
      <c r="H20" s="61">
        <f t="shared" si="0"/>
        <v>0.8</v>
      </c>
      <c r="I20" s="54" t="s">
        <v>287</v>
      </c>
    </row>
    <row r="21" spans="1:10" s="36" customFormat="1" ht="210" x14ac:dyDescent="0.25">
      <c r="A21" s="47">
        <v>18</v>
      </c>
      <c r="B21" s="35" t="s">
        <v>5</v>
      </c>
      <c r="C21" s="40" t="s">
        <v>6</v>
      </c>
      <c r="D21" s="35" t="s">
        <v>78</v>
      </c>
      <c r="F21" s="63">
        <v>1</v>
      </c>
      <c r="G21" s="64">
        <v>0.9</v>
      </c>
      <c r="H21" s="61">
        <f t="shared" si="0"/>
        <v>0.9</v>
      </c>
      <c r="I21" s="57" t="s">
        <v>275</v>
      </c>
    </row>
    <row r="22" spans="1:10" ht="330" x14ac:dyDescent="0.25">
      <c r="A22" s="46">
        <v>19</v>
      </c>
      <c r="B22" s="20" t="s">
        <v>5</v>
      </c>
      <c r="C22" s="40" t="s">
        <v>6</v>
      </c>
      <c r="D22" s="20" t="s">
        <v>79</v>
      </c>
      <c r="F22" s="63">
        <v>1</v>
      </c>
      <c r="G22" s="64">
        <v>0.72</v>
      </c>
      <c r="H22" s="61">
        <f t="shared" si="0"/>
        <v>0.72</v>
      </c>
      <c r="I22" s="54" t="s">
        <v>305</v>
      </c>
    </row>
    <row r="23" spans="1:10" ht="78.75" x14ac:dyDescent="0.25">
      <c r="A23" s="46">
        <v>20</v>
      </c>
      <c r="B23" s="20" t="s">
        <v>5</v>
      </c>
      <c r="C23" s="40" t="s">
        <v>6</v>
      </c>
      <c r="D23" s="20" t="s">
        <v>80</v>
      </c>
      <c r="F23" s="63">
        <v>1</v>
      </c>
      <c r="G23" s="64">
        <v>1</v>
      </c>
      <c r="H23" s="61">
        <f t="shared" si="0"/>
        <v>1</v>
      </c>
      <c r="I23" s="57" t="s">
        <v>100</v>
      </c>
    </row>
    <row r="24" spans="1:10" ht="141.75" x14ac:dyDescent="0.25">
      <c r="A24" s="46">
        <v>21</v>
      </c>
      <c r="B24" s="20" t="s">
        <v>5</v>
      </c>
      <c r="C24" s="40" t="s">
        <v>6</v>
      </c>
      <c r="D24" s="20" t="s">
        <v>81</v>
      </c>
      <c r="F24" s="63">
        <v>1</v>
      </c>
      <c r="G24" s="64">
        <v>1</v>
      </c>
      <c r="H24" s="61">
        <f t="shared" si="0"/>
        <v>1</v>
      </c>
      <c r="I24" s="54" t="s">
        <v>100</v>
      </c>
      <c r="J24" s="1" t="s">
        <v>24</v>
      </c>
    </row>
    <row r="25" spans="1:10" s="34" customFormat="1" ht="150" customHeight="1" x14ac:dyDescent="0.25">
      <c r="A25" s="47">
        <v>22</v>
      </c>
      <c r="B25" s="35" t="s">
        <v>5</v>
      </c>
      <c r="C25" s="35" t="s">
        <v>6</v>
      </c>
      <c r="D25" s="35" t="s">
        <v>82</v>
      </c>
      <c r="F25" s="63">
        <v>1</v>
      </c>
      <c r="G25" s="64">
        <v>1</v>
      </c>
      <c r="H25" s="61">
        <f t="shared" si="0"/>
        <v>1</v>
      </c>
      <c r="I25" s="58" t="s">
        <v>100</v>
      </c>
    </row>
    <row r="26" spans="1:10" ht="173.25" x14ac:dyDescent="0.25">
      <c r="A26" s="46">
        <v>23</v>
      </c>
      <c r="B26" s="20" t="s">
        <v>5</v>
      </c>
      <c r="C26" s="20" t="s">
        <v>6</v>
      </c>
      <c r="D26" s="20" t="s">
        <v>83</v>
      </c>
      <c r="F26" s="63">
        <v>1</v>
      </c>
      <c r="G26" s="64">
        <v>0.9</v>
      </c>
      <c r="H26" s="61">
        <f t="shared" si="0"/>
        <v>0.9</v>
      </c>
      <c r="I26" s="54" t="s">
        <v>306</v>
      </c>
    </row>
    <row r="27" spans="1:10" ht="47.25" x14ac:dyDescent="0.25">
      <c r="A27" s="46">
        <v>24</v>
      </c>
      <c r="B27" s="20" t="s">
        <v>5</v>
      </c>
      <c r="C27" s="20" t="s">
        <v>6</v>
      </c>
      <c r="D27" s="20" t="s">
        <v>84</v>
      </c>
      <c r="F27" s="63">
        <v>1</v>
      </c>
      <c r="G27" s="64">
        <v>1</v>
      </c>
      <c r="H27" s="61">
        <f t="shared" si="0"/>
        <v>1</v>
      </c>
      <c r="I27" s="54" t="s">
        <v>100</v>
      </c>
    </row>
    <row r="28" spans="1:10" ht="94.5" x14ac:dyDescent="0.25">
      <c r="A28" s="46">
        <v>25</v>
      </c>
      <c r="B28" s="20" t="s">
        <v>5</v>
      </c>
      <c r="C28" s="20" t="s">
        <v>6</v>
      </c>
      <c r="D28" s="20" t="s">
        <v>85</v>
      </c>
      <c r="F28" s="63">
        <v>1</v>
      </c>
      <c r="G28" s="64">
        <v>1</v>
      </c>
      <c r="H28" s="61">
        <f t="shared" si="0"/>
        <v>1</v>
      </c>
      <c r="I28" s="54" t="s">
        <v>100</v>
      </c>
    </row>
    <row r="29" spans="1:10" ht="63" x14ac:dyDescent="0.25">
      <c r="A29" s="46">
        <v>26</v>
      </c>
      <c r="B29" s="20" t="s">
        <v>5</v>
      </c>
      <c r="C29" s="20" t="s">
        <v>6</v>
      </c>
      <c r="D29" s="20" t="s">
        <v>86</v>
      </c>
      <c r="F29" s="63">
        <v>1</v>
      </c>
      <c r="G29" s="64">
        <v>1</v>
      </c>
      <c r="H29" s="61">
        <f t="shared" si="0"/>
        <v>1</v>
      </c>
      <c r="I29" s="54" t="s">
        <v>100</v>
      </c>
    </row>
    <row r="30" spans="1:10" ht="150" x14ac:dyDescent="0.25">
      <c r="A30" s="46">
        <v>27</v>
      </c>
      <c r="B30" s="20" t="s">
        <v>5</v>
      </c>
      <c r="C30" s="42" t="s">
        <v>7</v>
      </c>
      <c r="D30" s="20" t="s">
        <v>87</v>
      </c>
      <c r="F30" s="63">
        <v>1</v>
      </c>
      <c r="G30" s="64">
        <v>0.9</v>
      </c>
      <c r="H30" s="61">
        <f t="shared" si="0"/>
        <v>0.9</v>
      </c>
      <c r="I30" s="54" t="s">
        <v>239</v>
      </c>
    </row>
    <row r="31" spans="1:10" ht="90" x14ac:dyDescent="0.25">
      <c r="A31" s="46">
        <v>28</v>
      </c>
      <c r="B31" s="20" t="s">
        <v>5</v>
      </c>
      <c r="C31" s="42" t="s">
        <v>7</v>
      </c>
      <c r="D31" s="20" t="s">
        <v>88</v>
      </c>
      <c r="F31" s="63">
        <v>1</v>
      </c>
      <c r="G31" s="64">
        <v>0.93</v>
      </c>
      <c r="H31" s="61">
        <f t="shared" si="0"/>
        <v>0.93</v>
      </c>
      <c r="I31" s="54" t="s">
        <v>255</v>
      </c>
    </row>
    <row r="32" spans="1:10" ht="47.25" x14ac:dyDescent="0.25">
      <c r="A32" s="46">
        <v>29</v>
      </c>
      <c r="B32" s="20" t="s">
        <v>5</v>
      </c>
      <c r="C32" s="42" t="s">
        <v>7</v>
      </c>
      <c r="D32" s="20" t="s">
        <v>89</v>
      </c>
      <c r="F32" s="59">
        <v>1</v>
      </c>
      <c r="G32" s="60">
        <v>1</v>
      </c>
      <c r="H32" s="61">
        <f t="shared" si="0"/>
        <v>1</v>
      </c>
      <c r="I32" s="54" t="s">
        <v>100</v>
      </c>
    </row>
    <row r="33" spans="1:9" ht="110.25" x14ac:dyDescent="0.25">
      <c r="A33" s="46">
        <v>30</v>
      </c>
      <c r="B33" s="20" t="s">
        <v>5</v>
      </c>
      <c r="C33" s="42" t="s">
        <v>7</v>
      </c>
      <c r="D33" s="20" t="s">
        <v>90</v>
      </c>
      <c r="F33" s="59">
        <v>1</v>
      </c>
      <c r="G33" s="60">
        <v>1</v>
      </c>
      <c r="H33" s="61">
        <f t="shared" si="0"/>
        <v>1</v>
      </c>
      <c r="I33" s="54" t="s">
        <v>100</v>
      </c>
    </row>
    <row r="34" spans="1:9" s="36" customFormat="1" ht="94.5" customHeight="1" x14ac:dyDescent="0.25">
      <c r="A34" s="47">
        <v>31</v>
      </c>
      <c r="B34" s="35" t="s">
        <v>8</v>
      </c>
      <c r="C34" s="35" t="s">
        <v>9</v>
      </c>
      <c r="D34" s="44" t="s">
        <v>91</v>
      </c>
      <c r="F34" s="66">
        <v>1</v>
      </c>
      <c r="G34" s="67">
        <v>1</v>
      </c>
      <c r="H34" s="61">
        <f t="shared" si="0"/>
        <v>1</v>
      </c>
      <c r="I34" s="57" t="s">
        <v>100</v>
      </c>
    </row>
    <row r="35" spans="1:9" ht="78.75" x14ac:dyDescent="0.25">
      <c r="A35" s="46">
        <v>32</v>
      </c>
      <c r="B35" s="40" t="s">
        <v>8</v>
      </c>
      <c r="C35" s="40" t="s">
        <v>9</v>
      </c>
      <c r="D35" s="22" t="s">
        <v>92</v>
      </c>
      <c r="F35" s="59">
        <v>1</v>
      </c>
      <c r="G35" s="60">
        <v>1</v>
      </c>
      <c r="H35" s="61">
        <f t="shared" si="0"/>
        <v>1</v>
      </c>
      <c r="I35" s="55" t="s">
        <v>100</v>
      </c>
    </row>
    <row r="36" spans="1:9" ht="47.25" x14ac:dyDescent="0.25">
      <c r="A36" s="46">
        <v>33</v>
      </c>
      <c r="B36" s="40" t="s">
        <v>8</v>
      </c>
      <c r="C36" s="40" t="s">
        <v>9</v>
      </c>
      <c r="D36" s="20" t="s">
        <v>93</v>
      </c>
      <c r="F36" s="59">
        <v>1</v>
      </c>
      <c r="G36" s="60">
        <v>1</v>
      </c>
      <c r="H36" s="61">
        <f t="shared" si="0"/>
        <v>1</v>
      </c>
      <c r="I36" s="54" t="s">
        <v>100</v>
      </c>
    </row>
    <row r="37" spans="1:9" ht="94.5" x14ac:dyDescent="0.25">
      <c r="A37" s="46">
        <v>34</v>
      </c>
      <c r="B37" s="40" t="s">
        <v>8</v>
      </c>
      <c r="C37" s="40" t="s">
        <v>9</v>
      </c>
      <c r="D37" s="20" t="s">
        <v>94</v>
      </c>
      <c r="F37" s="59">
        <v>1</v>
      </c>
      <c r="G37" s="60">
        <v>1</v>
      </c>
      <c r="H37" s="61">
        <f t="shared" si="0"/>
        <v>1</v>
      </c>
      <c r="I37" s="54" t="s">
        <v>100</v>
      </c>
    </row>
    <row r="38" spans="1:9" ht="63" x14ac:dyDescent="0.25">
      <c r="A38" s="46">
        <v>35</v>
      </c>
      <c r="B38" s="40" t="s">
        <v>8</v>
      </c>
      <c r="C38" s="40" t="s">
        <v>9</v>
      </c>
      <c r="D38" s="20" t="s">
        <v>95</v>
      </c>
      <c r="F38" s="59">
        <v>1</v>
      </c>
      <c r="G38" s="60">
        <v>1</v>
      </c>
      <c r="H38" s="61">
        <f t="shared" si="0"/>
        <v>1</v>
      </c>
      <c r="I38" s="54" t="s">
        <v>100</v>
      </c>
    </row>
    <row r="39" spans="1:9" ht="94.5" x14ac:dyDescent="0.25">
      <c r="A39" s="46">
        <v>36</v>
      </c>
      <c r="B39" s="40" t="s">
        <v>8</v>
      </c>
      <c r="C39" s="40" t="s">
        <v>9</v>
      </c>
      <c r="D39" s="20" t="s">
        <v>96</v>
      </c>
      <c r="F39" s="59">
        <v>1</v>
      </c>
      <c r="G39" s="60">
        <v>1</v>
      </c>
      <c r="H39" s="61">
        <f t="shared" si="0"/>
        <v>1</v>
      </c>
      <c r="I39" s="54" t="s">
        <v>100</v>
      </c>
    </row>
    <row r="40" spans="1:9" ht="47.25" x14ac:dyDescent="0.25">
      <c r="A40" s="46">
        <v>37</v>
      </c>
      <c r="B40" s="40" t="s">
        <v>8</v>
      </c>
      <c r="C40" s="40" t="s">
        <v>9</v>
      </c>
      <c r="D40" s="20" t="s">
        <v>97</v>
      </c>
      <c r="F40" s="59">
        <v>1</v>
      </c>
      <c r="G40" s="60">
        <v>1</v>
      </c>
      <c r="H40" s="61">
        <f t="shared" si="0"/>
        <v>1</v>
      </c>
      <c r="I40" s="54" t="s">
        <v>100</v>
      </c>
    </row>
    <row r="41" spans="1:9" s="36" customFormat="1" ht="123" customHeight="1" x14ac:dyDescent="0.25">
      <c r="A41" s="47">
        <v>38</v>
      </c>
      <c r="B41" s="35" t="s">
        <v>8</v>
      </c>
      <c r="C41" s="35" t="s">
        <v>9</v>
      </c>
      <c r="D41" s="35" t="s">
        <v>98</v>
      </c>
      <c r="F41" s="66">
        <v>1</v>
      </c>
      <c r="G41" s="67">
        <v>1</v>
      </c>
      <c r="H41" s="61">
        <f t="shared" si="0"/>
        <v>1</v>
      </c>
      <c r="I41" s="57" t="s">
        <v>100</v>
      </c>
    </row>
    <row r="42" spans="1:9" s="36" customFormat="1" ht="192.75" customHeight="1" x14ac:dyDescent="0.25">
      <c r="A42" s="47">
        <v>39</v>
      </c>
      <c r="B42" s="20" t="s">
        <v>10</v>
      </c>
      <c r="C42" s="20" t="s">
        <v>28</v>
      </c>
      <c r="D42" s="35" t="s">
        <v>52</v>
      </c>
      <c r="F42" s="66">
        <v>1</v>
      </c>
      <c r="G42" s="67">
        <v>1</v>
      </c>
      <c r="H42" s="61">
        <f>F42*G42</f>
        <v>1</v>
      </c>
      <c r="I42" s="58" t="s">
        <v>100</v>
      </c>
    </row>
    <row r="43" spans="1:9" ht="125.25" customHeight="1" x14ac:dyDescent="0.25">
      <c r="A43" s="46">
        <v>40</v>
      </c>
      <c r="B43" s="20" t="s">
        <v>10</v>
      </c>
      <c r="C43" s="20" t="s">
        <v>27</v>
      </c>
      <c r="D43" s="20" t="s">
        <v>53</v>
      </c>
      <c r="F43" s="59">
        <v>1</v>
      </c>
      <c r="G43" s="60">
        <v>1</v>
      </c>
      <c r="H43" s="61">
        <f>F43*G43</f>
        <v>1</v>
      </c>
      <c r="I43" s="54" t="s">
        <v>100</v>
      </c>
    </row>
    <row r="44" spans="1:9" ht="270" x14ac:dyDescent="0.25">
      <c r="A44" s="46">
        <v>41</v>
      </c>
      <c r="B44" s="20" t="s">
        <v>10</v>
      </c>
      <c r="C44" s="20" t="s">
        <v>27</v>
      </c>
      <c r="D44" s="20" t="s">
        <v>99</v>
      </c>
      <c r="F44" s="59">
        <v>1</v>
      </c>
      <c r="G44" s="60">
        <v>0.75</v>
      </c>
      <c r="H44" s="61">
        <f t="shared" ref="H44:H51" si="1">F44*G44</f>
        <v>0.75</v>
      </c>
      <c r="I44" s="55" t="s">
        <v>130</v>
      </c>
    </row>
    <row r="45" spans="1:9" ht="126.75" customHeight="1" x14ac:dyDescent="0.25">
      <c r="A45" s="46">
        <v>42</v>
      </c>
      <c r="B45" s="20" t="s">
        <v>10</v>
      </c>
      <c r="C45" s="20" t="s">
        <v>10</v>
      </c>
      <c r="D45" s="20" t="s">
        <v>54</v>
      </c>
      <c r="F45" s="59">
        <v>1</v>
      </c>
      <c r="G45" s="60">
        <v>0.85</v>
      </c>
      <c r="H45" s="61">
        <f t="shared" si="1"/>
        <v>0.85</v>
      </c>
      <c r="I45" s="55" t="s">
        <v>154</v>
      </c>
    </row>
    <row r="46" spans="1:9" ht="240.75" customHeight="1" x14ac:dyDescent="0.25">
      <c r="A46" s="46">
        <v>43</v>
      </c>
      <c r="B46" s="20" t="s">
        <v>10</v>
      </c>
      <c r="C46" s="20" t="s">
        <v>29</v>
      </c>
      <c r="D46" s="20" t="s">
        <v>55</v>
      </c>
      <c r="F46" s="59">
        <v>1</v>
      </c>
      <c r="G46" s="60">
        <v>0.85</v>
      </c>
      <c r="H46" s="61">
        <f t="shared" si="1"/>
        <v>0.85</v>
      </c>
      <c r="I46" s="55" t="s">
        <v>111</v>
      </c>
    </row>
    <row r="47" spans="1:9" s="41" customFormat="1" ht="315" x14ac:dyDescent="0.25">
      <c r="A47" s="45">
        <v>44</v>
      </c>
      <c r="B47" s="20" t="s">
        <v>10</v>
      </c>
      <c r="C47" s="20" t="s">
        <v>10</v>
      </c>
      <c r="D47" s="35" t="s">
        <v>56</v>
      </c>
      <c r="F47" s="63">
        <v>1</v>
      </c>
      <c r="G47" s="64">
        <v>0.8</v>
      </c>
      <c r="H47" s="61">
        <f t="shared" si="1"/>
        <v>0.8</v>
      </c>
      <c r="I47" s="56" t="s">
        <v>162</v>
      </c>
    </row>
    <row r="48" spans="1:9" ht="110.25" x14ac:dyDescent="0.25">
      <c r="A48" s="46">
        <v>45</v>
      </c>
      <c r="B48" s="20" t="s">
        <v>10</v>
      </c>
      <c r="C48" s="20" t="s">
        <v>10</v>
      </c>
      <c r="D48" s="20" t="s">
        <v>57</v>
      </c>
      <c r="F48" s="59">
        <v>1</v>
      </c>
      <c r="G48" s="60">
        <v>0.98</v>
      </c>
      <c r="H48" s="61">
        <f>F48*G48</f>
        <v>0.98</v>
      </c>
      <c r="I48" s="55" t="s">
        <v>101</v>
      </c>
    </row>
    <row r="49" spans="1:9" ht="195" x14ac:dyDescent="0.25">
      <c r="A49" s="46">
        <v>46</v>
      </c>
      <c r="B49" s="20" t="s">
        <v>10</v>
      </c>
      <c r="C49" s="20" t="s">
        <v>10</v>
      </c>
      <c r="D49" s="20" t="s">
        <v>58</v>
      </c>
      <c r="F49" s="59">
        <v>1</v>
      </c>
      <c r="G49" s="60">
        <v>0.93</v>
      </c>
      <c r="H49" s="61">
        <f t="shared" si="1"/>
        <v>0.93</v>
      </c>
      <c r="I49" s="57" t="s">
        <v>104</v>
      </c>
    </row>
    <row r="50" spans="1:9" s="36" customFormat="1" ht="90.75" customHeight="1" x14ac:dyDescent="0.25">
      <c r="A50" s="47">
        <v>47</v>
      </c>
      <c r="B50" s="35" t="s">
        <v>10</v>
      </c>
      <c r="C50" s="35" t="s">
        <v>10</v>
      </c>
      <c r="D50" s="35" t="s">
        <v>59</v>
      </c>
      <c r="F50" s="66">
        <v>1</v>
      </c>
      <c r="G50" s="67">
        <v>0.95</v>
      </c>
      <c r="H50" s="61">
        <f t="shared" si="1"/>
        <v>0.95</v>
      </c>
      <c r="I50" s="58" t="s">
        <v>151</v>
      </c>
    </row>
    <row r="51" spans="1:9" ht="142.5" customHeight="1" x14ac:dyDescent="0.25">
      <c r="A51" s="46">
        <v>48</v>
      </c>
      <c r="B51" s="20" t="s">
        <v>10</v>
      </c>
      <c r="C51" s="20" t="s">
        <v>10</v>
      </c>
      <c r="D51" s="20" t="s">
        <v>60</v>
      </c>
      <c r="F51" s="59">
        <v>1</v>
      </c>
      <c r="G51" s="60">
        <v>0.85</v>
      </c>
      <c r="H51" s="61">
        <f t="shared" si="1"/>
        <v>0.85</v>
      </c>
      <c r="I51" s="55" t="s">
        <v>138</v>
      </c>
    </row>
  </sheetData>
  <mergeCells count="2">
    <mergeCell ref="B2:D2"/>
    <mergeCell ref="F2:I2"/>
  </mergeCells>
  <pageMargins left="0.511811024" right="0.511811024" top="0.78740157499999996" bottom="0.78740157499999996" header="0.31496062000000002" footer="0.31496062000000002"/>
  <pageSetup paperSize="9" orientation="portrait" horizontalDpi="200" verticalDpi="200" copies="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1"/>
  <sheetViews>
    <sheetView zoomScaleNormal="100" workbookViewId="0">
      <pane xSplit="4" ySplit="3" topLeftCell="E50" activePane="bottomRight" state="frozen"/>
      <selection pane="topRight" activeCell="E1" sqref="E1"/>
      <selection pane="bottomLeft" activeCell="A4" sqref="A4"/>
      <selection pane="bottomRight" activeCell="H51" sqref="H51"/>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94.5" x14ac:dyDescent="0.25">
      <c r="A4" s="45">
        <v>1</v>
      </c>
      <c r="B4" s="40" t="s">
        <v>3</v>
      </c>
      <c r="C4" s="40" t="s">
        <v>4</v>
      </c>
      <c r="D4" s="40" t="s">
        <v>61</v>
      </c>
      <c r="F4" s="63">
        <v>1</v>
      </c>
      <c r="G4" s="64">
        <v>0.97</v>
      </c>
      <c r="H4" s="61">
        <f>F4*G4</f>
        <v>0.97</v>
      </c>
      <c r="I4" s="65" t="s">
        <v>337</v>
      </c>
    </row>
    <row r="5" spans="1:9" ht="409.5" x14ac:dyDescent="0.25">
      <c r="A5" s="46">
        <v>2</v>
      </c>
      <c r="B5" s="20" t="s">
        <v>3</v>
      </c>
      <c r="C5" s="20" t="s">
        <v>4</v>
      </c>
      <c r="D5" s="20" t="s">
        <v>62</v>
      </c>
      <c r="F5" s="59">
        <v>1</v>
      </c>
      <c r="G5" s="60">
        <v>0.82</v>
      </c>
      <c r="H5" s="61">
        <f t="shared" ref="H5:H51" si="0">F5*G5</f>
        <v>0.82</v>
      </c>
      <c r="I5" s="54" t="s">
        <v>386</v>
      </c>
    </row>
    <row r="6" spans="1:9" ht="390" x14ac:dyDescent="0.25">
      <c r="A6" s="46">
        <v>3</v>
      </c>
      <c r="B6" s="20" t="s">
        <v>3</v>
      </c>
      <c r="C6" s="20" t="s">
        <v>4</v>
      </c>
      <c r="D6" s="20" t="s">
        <v>63</v>
      </c>
      <c r="F6" s="63">
        <v>1</v>
      </c>
      <c r="G6" s="64">
        <v>0.86</v>
      </c>
      <c r="H6" s="61">
        <f t="shared" si="0"/>
        <v>0.86</v>
      </c>
      <c r="I6" s="54" t="s">
        <v>339</v>
      </c>
    </row>
    <row r="7" spans="1:9" ht="345" x14ac:dyDescent="0.25">
      <c r="A7" s="46">
        <v>4</v>
      </c>
      <c r="B7" s="20" t="s">
        <v>3</v>
      </c>
      <c r="C7" s="20" t="s">
        <v>4</v>
      </c>
      <c r="D7" s="20" t="s">
        <v>64</v>
      </c>
      <c r="F7" s="63">
        <v>1</v>
      </c>
      <c r="G7" s="64">
        <v>0.9</v>
      </c>
      <c r="H7" s="61">
        <f t="shared" si="0"/>
        <v>0.9</v>
      </c>
      <c r="I7" s="54" t="s">
        <v>340</v>
      </c>
    </row>
    <row r="8" spans="1:9" ht="409.5" x14ac:dyDescent="0.25">
      <c r="A8" s="46">
        <v>5</v>
      </c>
      <c r="B8" s="20" t="s">
        <v>3</v>
      </c>
      <c r="C8" s="20" t="s">
        <v>4</v>
      </c>
      <c r="D8" s="20" t="s">
        <v>65</v>
      </c>
      <c r="F8" s="63">
        <v>1</v>
      </c>
      <c r="G8" s="64">
        <v>0.74</v>
      </c>
      <c r="H8" s="61">
        <f t="shared" si="0"/>
        <v>0.74</v>
      </c>
      <c r="I8" s="54" t="s">
        <v>341</v>
      </c>
    </row>
    <row r="9" spans="1:9" s="36" customFormat="1" ht="409.5" x14ac:dyDescent="0.25">
      <c r="A9" s="47">
        <v>6</v>
      </c>
      <c r="B9" s="35" t="s">
        <v>3</v>
      </c>
      <c r="C9" s="35" t="s">
        <v>4</v>
      </c>
      <c r="D9" s="35" t="s">
        <v>66</v>
      </c>
      <c r="F9" s="63">
        <v>1</v>
      </c>
      <c r="G9" s="64">
        <v>0.73</v>
      </c>
      <c r="H9" s="61">
        <f t="shared" si="0"/>
        <v>0.73</v>
      </c>
      <c r="I9" s="58" t="s">
        <v>383</v>
      </c>
    </row>
    <row r="10" spans="1:9" ht="195" x14ac:dyDescent="0.25">
      <c r="A10" s="46">
        <v>7</v>
      </c>
      <c r="B10" s="20" t="s">
        <v>3</v>
      </c>
      <c r="C10" s="20" t="s">
        <v>4</v>
      </c>
      <c r="D10" s="20" t="s">
        <v>67</v>
      </c>
      <c r="F10" s="63">
        <v>1</v>
      </c>
      <c r="G10" s="64">
        <v>0.8</v>
      </c>
      <c r="H10" s="61">
        <f t="shared" si="0"/>
        <v>0.8</v>
      </c>
      <c r="I10" s="54" t="s">
        <v>384</v>
      </c>
    </row>
    <row r="11" spans="1:9" ht="315" x14ac:dyDescent="0.25">
      <c r="A11" s="46">
        <v>8</v>
      </c>
      <c r="B11" s="20" t="s">
        <v>3</v>
      </c>
      <c r="C11" s="20" t="s">
        <v>4</v>
      </c>
      <c r="D11" s="20" t="s">
        <v>68</v>
      </c>
      <c r="F11" s="63">
        <v>1</v>
      </c>
      <c r="G11" s="64">
        <v>0.9</v>
      </c>
      <c r="H11" s="61">
        <f t="shared" si="0"/>
        <v>0.9</v>
      </c>
      <c r="I11" s="55" t="s">
        <v>344</v>
      </c>
    </row>
    <row r="12" spans="1:9" ht="225" x14ac:dyDescent="0.25">
      <c r="A12" s="46">
        <v>9</v>
      </c>
      <c r="B12" s="20" t="s">
        <v>3</v>
      </c>
      <c r="C12" s="20" t="s">
        <v>4</v>
      </c>
      <c r="D12" s="20" t="s">
        <v>69</v>
      </c>
      <c r="F12" s="63">
        <v>1</v>
      </c>
      <c r="G12" s="64">
        <v>0.78</v>
      </c>
      <c r="H12" s="61">
        <f t="shared" si="0"/>
        <v>0.78</v>
      </c>
      <c r="I12" s="54" t="s">
        <v>387</v>
      </c>
    </row>
    <row r="13" spans="1:9" s="36" customFormat="1" ht="126" x14ac:dyDescent="0.25">
      <c r="A13" s="47">
        <v>10</v>
      </c>
      <c r="B13" s="35" t="s">
        <v>3</v>
      </c>
      <c r="C13" s="20" t="s">
        <v>4</v>
      </c>
      <c r="D13" s="35" t="s">
        <v>70</v>
      </c>
      <c r="F13" s="63">
        <v>1</v>
      </c>
      <c r="G13" s="64">
        <v>1</v>
      </c>
      <c r="H13" s="61">
        <f t="shared" si="0"/>
        <v>1</v>
      </c>
      <c r="I13" s="57" t="s">
        <v>100</v>
      </c>
    </row>
    <row r="14" spans="1:9" ht="120" x14ac:dyDescent="0.25">
      <c r="A14" s="46">
        <v>11</v>
      </c>
      <c r="B14" s="20" t="s">
        <v>25</v>
      </c>
      <c r="C14" s="20" t="s">
        <v>26</v>
      </c>
      <c r="D14" s="20" t="s">
        <v>71</v>
      </c>
      <c r="F14" s="63">
        <v>1</v>
      </c>
      <c r="G14" s="64">
        <v>0.98</v>
      </c>
      <c r="H14" s="61">
        <f t="shared" si="0"/>
        <v>0.98</v>
      </c>
      <c r="I14" s="54" t="s">
        <v>298</v>
      </c>
    </row>
    <row r="15" spans="1:9" ht="75" x14ac:dyDescent="0.25">
      <c r="A15" s="46">
        <v>12</v>
      </c>
      <c r="B15" s="20" t="s">
        <v>25</v>
      </c>
      <c r="C15" s="20" t="s">
        <v>26</v>
      </c>
      <c r="D15" s="20" t="s">
        <v>72</v>
      </c>
      <c r="F15" s="63">
        <v>1</v>
      </c>
      <c r="G15" s="64">
        <v>0.9</v>
      </c>
      <c r="H15" s="61">
        <f t="shared" si="0"/>
        <v>0.9</v>
      </c>
      <c r="I15" s="54" t="s">
        <v>299</v>
      </c>
    </row>
    <row r="16" spans="1:9" s="36" customFormat="1" ht="94.5" x14ac:dyDescent="0.25">
      <c r="A16" s="47">
        <v>13</v>
      </c>
      <c r="B16" s="35" t="s">
        <v>25</v>
      </c>
      <c r="C16" s="35" t="s">
        <v>26</v>
      </c>
      <c r="D16" s="35" t="s">
        <v>73</v>
      </c>
      <c r="F16" s="63">
        <v>1</v>
      </c>
      <c r="G16" s="64">
        <v>0.6</v>
      </c>
      <c r="H16" s="61">
        <f t="shared" si="0"/>
        <v>0.6</v>
      </c>
      <c r="I16" s="57" t="s">
        <v>300</v>
      </c>
    </row>
    <row r="17" spans="1:10" ht="63" x14ac:dyDescent="0.25">
      <c r="A17" s="46">
        <v>14</v>
      </c>
      <c r="B17" s="20" t="s">
        <v>25</v>
      </c>
      <c r="C17" s="20" t="s">
        <v>26</v>
      </c>
      <c r="D17" s="20" t="s">
        <v>74</v>
      </c>
      <c r="F17" s="63">
        <v>1</v>
      </c>
      <c r="G17" s="64">
        <v>1</v>
      </c>
      <c r="H17" s="61">
        <f t="shared" si="0"/>
        <v>1</v>
      </c>
      <c r="I17" s="54" t="s">
        <v>100</v>
      </c>
    </row>
    <row r="18" spans="1:10" ht="110.25" x14ac:dyDescent="0.25">
      <c r="A18" s="46">
        <v>15</v>
      </c>
      <c r="B18" s="20" t="s">
        <v>25</v>
      </c>
      <c r="C18" s="20" t="s">
        <v>26</v>
      </c>
      <c r="D18" s="20" t="s">
        <v>75</v>
      </c>
      <c r="F18" s="63">
        <v>1</v>
      </c>
      <c r="G18" s="64">
        <v>1</v>
      </c>
      <c r="H18" s="61">
        <f t="shared" si="0"/>
        <v>1</v>
      </c>
      <c r="I18" s="54" t="s">
        <v>100</v>
      </c>
    </row>
    <row r="19" spans="1:10" ht="47.25" x14ac:dyDescent="0.25">
      <c r="A19" s="46">
        <v>16</v>
      </c>
      <c r="B19" s="20" t="s">
        <v>5</v>
      </c>
      <c r="C19" s="40" t="s">
        <v>6</v>
      </c>
      <c r="D19" s="20" t="s">
        <v>76</v>
      </c>
      <c r="F19" s="63">
        <v>1</v>
      </c>
      <c r="G19" s="64">
        <v>1</v>
      </c>
      <c r="H19" s="61">
        <f t="shared" si="0"/>
        <v>1</v>
      </c>
      <c r="I19" s="54" t="s">
        <v>100</v>
      </c>
    </row>
    <row r="20" spans="1:10" ht="120" x14ac:dyDescent="0.25">
      <c r="A20" s="46">
        <v>17</v>
      </c>
      <c r="B20" s="20" t="s">
        <v>5</v>
      </c>
      <c r="C20" s="40" t="s">
        <v>6</v>
      </c>
      <c r="D20" s="20" t="s">
        <v>77</v>
      </c>
      <c r="F20" s="63">
        <v>1</v>
      </c>
      <c r="G20" s="64">
        <v>0.8</v>
      </c>
      <c r="H20" s="61">
        <f t="shared" si="0"/>
        <v>0.8</v>
      </c>
      <c r="I20" s="54" t="s">
        <v>301</v>
      </c>
    </row>
    <row r="21" spans="1:10" s="36" customFormat="1" ht="210" x14ac:dyDescent="0.25">
      <c r="A21" s="47">
        <v>18</v>
      </c>
      <c r="B21" s="35" t="s">
        <v>5</v>
      </c>
      <c r="C21" s="40" t="s">
        <v>6</v>
      </c>
      <c r="D21" s="35" t="s">
        <v>78</v>
      </c>
      <c r="F21" s="63">
        <v>1</v>
      </c>
      <c r="G21" s="64">
        <v>0.9</v>
      </c>
      <c r="H21" s="61">
        <f t="shared" si="0"/>
        <v>0.9</v>
      </c>
      <c r="I21" s="57" t="s">
        <v>275</v>
      </c>
    </row>
    <row r="22" spans="1:10" ht="409.5" x14ac:dyDescent="0.25">
      <c r="A22" s="46">
        <v>19</v>
      </c>
      <c r="B22" s="20" t="s">
        <v>5</v>
      </c>
      <c r="C22" s="40" t="s">
        <v>6</v>
      </c>
      <c r="D22" s="20" t="s">
        <v>79</v>
      </c>
      <c r="F22" s="63">
        <v>1</v>
      </c>
      <c r="G22" s="64">
        <v>0.6</v>
      </c>
      <c r="H22" s="61">
        <f t="shared" si="0"/>
        <v>0.6</v>
      </c>
      <c r="I22" s="54" t="s">
        <v>302</v>
      </c>
    </row>
    <row r="23" spans="1:10" ht="78.75" x14ac:dyDescent="0.25">
      <c r="A23" s="46">
        <v>20</v>
      </c>
      <c r="B23" s="20" t="s">
        <v>5</v>
      </c>
      <c r="C23" s="40" t="s">
        <v>6</v>
      </c>
      <c r="D23" s="20" t="s">
        <v>80</v>
      </c>
      <c r="F23" s="63">
        <v>1</v>
      </c>
      <c r="G23" s="64">
        <v>1</v>
      </c>
      <c r="H23" s="61">
        <f t="shared" si="0"/>
        <v>1</v>
      </c>
      <c r="I23" s="57" t="s">
        <v>100</v>
      </c>
    </row>
    <row r="24" spans="1:10" ht="141.75" x14ac:dyDescent="0.25">
      <c r="A24" s="46">
        <v>21</v>
      </c>
      <c r="B24" s="20" t="s">
        <v>5</v>
      </c>
      <c r="C24" s="40" t="s">
        <v>6</v>
      </c>
      <c r="D24" s="20" t="s">
        <v>81</v>
      </c>
      <c r="F24" s="63">
        <v>1</v>
      </c>
      <c r="G24" s="64">
        <v>0.9</v>
      </c>
      <c r="H24" s="61">
        <f t="shared" si="0"/>
        <v>0.9</v>
      </c>
      <c r="I24" s="54" t="s">
        <v>296</v>
      </c>
      <c r="J24" s="1" t="s">
        <v>24</v>
      </c>
    </row>
    <row r="25" spans="1:10" s="34" customFormat="1" ht="150" customHeight="1" x14ac:dyDescent="0.25">
      <c r="A25" s="47">
        <v>22</v>
      </c>
      <c r="B25" s="35" t="s">
        <v>5</v>
      </c>
      <c r="C25" s="35" t="s">
        <v>6</v>
      </c>
      <c r="D25" s="35" t="s">
        <v>82</v>
      </c>
      <c r="F25" s="63">
        <v>1</v>
      </c>
      <c r="G25" s="64">
        <v>1</v>
      </c>
      <c r="H25" s="61">
        <f t="shared" si="0"/>
        <v>1</v>
      </c>
      <c r="I25" s="58" t="s">
        <v>100</v>
      </c>
    </row>
    <row r="26" spans="1:10" ht="173.25" x14ac:dyDescent="0.25">
      <c r="A26" s="46">
        <v>23</v>
      </c>
      <c r="B26" s="20" t="s">
        <v>5</v>
      </c>
      <c r="C26" s="20" t="s">
        <v>6</v>
      </c>
      <c r="D26" s="20" t="s">
        <v>83</v>
      </c>
      <c r="F26" s="63">
        <v>1</v>
      </c>
      <c r="G26" s="64">
        <v>1</v>
      </c>
      <c r="H26" s="61">
        <f t="shared" si="0"/>
        <v>1</v>
      </c>
      <c r="I26" s="54" t="s">
        <v>100</v>
      </c>
    </row>
    <row r="27" spans="1:10" ht="47.25" x14ac:dyDescent="0.25">
      <c r="A27" s="46">
        <v>24</v>
      </c>
      <c r="B27" s="20" t="s">
        <v>5</v>
      </c>
      <c r="C27" s="20" t="s">
        <v>6</v>
      </c>
      <c r="D27" s="20" t="s">
        <v>84</v>
      </c>
      <c r="F27" s="63">
        <v>1</v>
      </c>
      <c r="G27" s="64">
        <v>1</v>
      </c>
      <c r="H27" s="61">
        <f t="shared" si="0"/>
        <v>1</v>
      </c>
      <c r="I27" s="54" t="s">
        <v>100</v>
      </c>
    </row>
    <row r="28" spans="1:10" ht="94.5" x14ac:dyDescent="0.25">
      <c r="A28" s="46">
        <v>25</v>
      </c>
      <c r="B28" s="20" t="s">
        <v>5</v>
      </c>
      <c r="C28" s="20" t="s">
        <v>6</v>
      </c>
      <c r="D28" s="20" t="s">
        <v>85</v>
      </c>
      <c r="F28" s="63">
        <v>1</v>
      </c>
      <c r="G28" s="64">
        <v>1</v>
      </c>
      <c r="H28" s="61">
        <f t="shared" si="0"/>
        <v>1</v>
      </c>
      <c r="I28" s="54" t="s">
        <v>100</v>
      </c>
    </row>
    <row r="29" spans="1:10" ht="63" x14ac:dyDescent="0.25">
      <c r="A29" s="46">
        <v>26</v>
      </c>
      <c r="B29" s="20" t="s">
        <v>5</v>
      </c>
      <c r="C29" s="20" t="s">
        <v>6</v>
      </c>
      <c r="D29" s="20" t="s">
        <v>86</v>
      </c>
      <c r="F29" s="63">
        <v>1</v>
      </c>
      <c r="G29" s="64">
        <v>1</v>
      </c>
      <c r="H29" s="61">
        <f t="shared" si="0"/>
        <v>1</v>
      </c>
      <c r="I29" s="54" t="s">
        <v>100</v>
      </c>
    </row>
    <row r="30" spans="1:10" ht="150" x14ac:dyDescent="0.25">
      <c r="A30" s="46">
        <v>27</v>
      </c>
      <c r="B30" s="20" t="s">
        <v>5</v>
      </c>
      <c r="C30" s="42" t="s">
        <v>7</v>
      </c>
      <c r="D30" s="20" t="s">
        <v>87</v>
      </c>
      <c r="F30" s="63">
        <v>1</v>
      </c>
      <c r="G30" s="64">
        <v>0.9</v>
      </c>
      <c r="H30" s="61">
        <f t="shared" si="0"/>
        <v>0.9</v>
      </c>
      <c r="I30" s="54" t="s">
        <v>303</v>
      </c>
    </row>
    <row r="31" spans="1:10" ht="78.75" x14ac:dyDescent="0.25">
      <c r="A31" s="46">
        <v>28</v>
      </c>
      <c r="B31" s="20" t="s">
        <v>5</v>
      </c>
      <c r="C31" s="42" t="s">
        <v>7</v>
      </c>
      <c r="D31" s="20" t="s">
        <v>88</v>
      </c>
      <c r="F31" s="63">
        <v>1</v>
      </c>
      <c r="G31" s="64">
        <v>0.93</v>
      </c>
      <c r="H31" s="61">
        <f t="shared" si="0"/>
        <v>0.93</v>
      </c>
      <c r="I31" s="54" t="s">
        <v>297</v>
      </c>
    </row>
    <row r="32" spans="1:10" ht="47.25" x14ac:dyDescent="0.25">
      <c r="A32" s="46">
        <v>29</v>
      </c>
      <c r="B32" s="20" t="s">
        <v>5</v>
      </c>
      <c r="C32" s="42" t="s">
        <v>7</v>
      </c>
      <c r="D32" s="20" t="s">
        <v>89</v>
      </c>
      <c r="F32" s="59">
        <v>1</v>
      </c>
      <c r="G32" s="60">
        <v>1</v>
      </c>
      <c r="H32" s="61">
        <f t="shared" si="0"/>
        <v>1</v>
      </c>
      <c r="I32" s="54" t="s">
        <v>100</v>
      </c>
    </row>
    <row r="33" spans="1:9" ht="110.25" x14ac:dyDescent="0.25">
      <c r="A33" s="46">
        <v>30</v>
      </c>
      <c r="B33" s="20" t="s">
        <v>5</v>
      </c>
      <c r="C33" s="42" t="s">
        <v>7</v>
      </c>
      <c r="D33" s="20" t="s">
        <v>90</v>
      </c>
      <c r="F33" s="59">
        <v>1</v>
      </c>
      <c r="G33" s="60">
        <v>1</v>
      </c>
      <c r="H33" s="61">
        <f t="shared" si="0"/>
        <v>1</v>
      </c>
      <c r="I33" s="54" t="s">
        <v>232</v>
      </c>
    </row>
    <row r="34" spans="1:9" s="36" customFormat="1" ht="94.5" customHeight="1" x14ac:dyDescent="0.25">
      <c r="A34" s="47">
        <v>31</v>
      </c>
      <c r="B34" s="35" t="s">
        <v>8</v>
      </c>
      <c r="C34" s="35" t="s">
        <v>9</v>
      </c>
      <c r="D34" s="44" t="s">
        <v>91</v>
      </c>
      <c r="F34" s="66">
        <v>1</v>
      </c>
      <c r="G34" s="67">
        <v>1</v>
      </c>
      <c r="H34" s="61">
        <f t="shared" si="0"/>
        <v>1</v>
      </c>
      <c r="I34" s="58" t="s">
        <v>100</v>
      </c>
    </row>
    <row r="35" spans="1:9" ht="78.75" x14ac:dyDescent="0.25">
      <c r="A35" s="46">
        <v>32</v>
      </c>
      <c r="B35" s="40" t="s">
        <v>8</v>
      </c>
      <c r="C35" s="40" t="s">
        <v>9</v>
      </c>
      <c r="D35" s="22" t="s">
        <v>92</v>
      </c>
      <c r="F35" s="59">
        <v>1</v>
      </c>
      <c r="G35" s="60">
        <v>1</v>
      </c>
      <c r="H35" s="61">
        <f t="shared" si="0"/>
        <v>1</v>
      </c>
      <c r="I35" s="58" t="s">
        <v>100</v>
      </c>
    </row>
    <row r="36" spans="1:9" ht="47.25" x14ac:dyDescent="0.25">
      <c r="A36" s="46">
        <v>33</v>
      </c>
      <c r="B36" s="40" t="s">
        <v>8</v>
      </c>
      <c r="C36" s="40" t="s">
        <v>9</v>
      </c>
      <c r="D36" s="20" t="s">
        <v>93</v>
      </c>
      <c r="F36" s="59">
        <v>1</v>
      </c>
      <c r="G36" s="60">
        <v>1</v>
      </c>
      <c r="H36" s="61">
        <f t="shared" si="0"/>
        <v>1</v>
      </c>
      <c r="I36" s="58" t="s">
        <v>100</v>
      </c>
    </row>
    <row r="37" spans="1:9" ht="94.5" x14ac:dyDescent="0.25">
      <c r="A37" s="46">
        <v>34</v>
      </c>
      <c r="B37" s="40" t="s">
        <v>8</v>
      </c>
      <c r="C37" s="40" t="s">
        <v>9</v>
      </c>
      <c r="D37" s="20" t="s">
        <v>94</v>
      </c>
      <c r="F37" s="59">
        <v>1</v>
      </c>
      <c r="G37" s="60">
        <v>1</v>
      </c>
      <c r="H37" s="61">
        <f t="shared" si="0"/>
        <v>1</v>
      </c>
      <c r="I37" s="58" t="s">
        <v>100</v>
      </c>
    </row>
    <row r="38" spans="1:9" ht="63" x14ac:dyDescent="0.25">
      <c r="A38" s="46">
        <v>35</v>
      </c>
      <c r="B38" s="40" t="s">
        <v>8</v>
      </c>
      <c r="C38" s="40" t="s">
        <v>9</v>
      </c>
      <c r="D38" s="20" t="s">
        <v>95</v>
      </c>
      <c r="F38" s="59">
        <v>1</v>
      </c>
      <c r="G38" s="60">
        <v>1</v>
      </c>
      <c r="H38" s="61">
        <f t="shared" si="0"/>
        <v>1</v>
      </c>
      <c r="I38" s="58" t="s">
        <v>100</v>
      </c>
    </row>
    <row r="39" spans="1:9" ht="94.5" x14ac:dyDescent="0.25">
      <c r="A39" s="46">
        <v>36</v>
      </c>
      <c r="B39" s="40" t="s">
        <v>8</v>
      </c>
      <c r="C39" s="40" t="s">
        <v>9</v>
      </c>
      <c r="D39" s="20" t="s">
        <v>96</v>
      </c>
      <c r="F39" s="59">
        <v>1</v>
      </c>
      <c r="G39" s="60">
        <v>1</v>
      </c>
      <c r="H39" s="61">
        <f t="shared" si="0"/>
        <v>1</v>
      </c>
      <c r="I39" s="58" t="s">
        <v>100</v>
      </c>
    </row>
    <row r="40" spans="1:9" ht="47.25" x14ac:dyDescent="0.25">
      <c r="A40" s="46">
        <v>37</v>
      </c>
      <c r="B40" s="40" t="s">
        <v>8</v>
      </c>
      <c r="C40" s="40" t="s">
        <v>9</v>
      </c>
      <c r="D40" s="20" t="s">
        <v>97</v>
      </c>
      <c r="F40" s="59">
        <v>1</v>
      </c>
      <c r="G40" s="60">
        <v>1</v>
      </c>
      <c r="H40" s="61">
        <f t="shared" si="0"/>
        <v>1</v>
      </c>
      <c r="I40" s="58" t="s">
        <v>100</v>
      </c>
    </row>
    <row r="41" spans="1:9" s="36" customFormat="1" ht="123" customHeight="1" x14ac:dyDescent="0.25">
      <c r="A41" s="47">
        <v>38</v>
      </c>
      <c r="B41" s="35" t="s">
        <v>8</v>
      </c>
      <c r="C41" s="35" t="s">
        <v>9</v>
      </c>
      <c r="D41" s="35" t="s">
        <v>98</v>
      </c>
      <c r="F41" s="66">
        <v>1</v>
      </c>
      <c r="G41" s="67">
        <v>0.9</v>
      </c>
      <c r="H41" s="61">
        <f t="shared" si="0"/>
        <v>0.9</v>
      </c>
      <c r="I41" s="57" t="s">
        <v>182</v>
      </c>
    </row>
    <row r="42" spans="1:9" s="36" customFormat="1" ht="192.75" customHeight="1" x14ac:dyDescent="0.25">
      <c r="A42" s="47">
        <v>39</v>
      </c>
      <c r="B42" s="20" t="s">
        <v>10</v>
      </c>
      <c r="C42" s="20" t="s">
        <v>28</v>
      </c>
      <c r="D42" s="35" t="s">
        <v>52</v>
      </c>
      <c r="F42" s="66">
        <v>1</v>
      </c>
      <c r="G42" s="67">
        <v>1</v>
      </c>
      <c r="H42" s="61">
        <f t="shared" si="0"/>
        <v>1</v>
      </c>
      <c r="I42" s="58" t="s">
        <v>100</v>
      </c>
    </row>
    <row r="43" spans="1:9" ht="125.25" customHeight="1" x14ac:dyDescent="0.25">
      <c r="A43" s="46">
        <v>40</v>
      </c>
      <c r="B43" s="20" t="s">
        <v>10</v>
      </c>
      <c r="C43" s="20" t="s">
        <v>27</v>
      </c>
      <c r="D43" s="20" t="s">
        <v>53</v>
      </c>
      <c r="F43" s="59">
        <v>1</v>
      </c>
      <c r="G43" s="60">
        <v>1</v>
      </c>
      <c r="H43" s="61">
        <f t="shared" si="0"/>
        <v>1</v>
      </c>
      <c r="I43" s="54" t="s">
        <v>100</v>
      </c>
    </row>
    <row r="44" spans="1:9" ht="210" x14ac:dyDescent="0.25">
      <c r="A44" s="46">
        <v>41</v>
      </c>
      <c r="B44" s="20" t="s">
        <v>10</v>
      </c>
      <c r="C44" s="20" t="s">
        <v>27</v>
      </c>
      <c r="D44" s="20" t="s">
        <v>99</v>
      </c>
      <c r="F44" s="59">
        <v>1</v>
      </c>
      <c r="G44" s="60">
        <v>0.8</v>
      </c>
      <c r="H44" s="61">
        <f t="shared" si="0"/>
        <v>0.8</v>
      </c>
      <c r="I44" s="55" t="s">
        <v>131</v>
      </c>
    </row>
    <row r="45" spans="1:9" ht="126.75" customHeight="1" x14ac:dyDescent="0.25">
      <c r="A45" s="46">
        <v>42</v>
      </c>
      <c r="B45" s="20" t="s">
        <v>10</v>
      </c>
      <c r="C45" s="20" t="s">
        <v>10</v>
      </c>
      <c r="D45" s="20" t="s">
        <v>54</v>
      </c>
      <c r="F45" s="59">
        <v>1</v>
      </c>
      <c r="G45" s="60">
        <v>0.85</v>
      </c>
      <c r="H45" s="61">
        <f t="shared" si="0"/>
        <v>0.85</v>
      </c>
      <c r="I45" s="55" t="s">
        <v>155</v>
      </c>
    </row>
    <row r="46" spans="1:9" ht="240.75" customHeight="1" x14ac:dyDescent="0.25">
      <c r="A46" s="46">
        <v>43</v>
      </c>
      <c r="B46" s="20" t="s">
        <v>10</v>
      </c>
      <c r="C46" s="20" t="s">
        <v>29</v>
      </c>
      <c r="D46" s="20" t="s">
        <v>55</v>
      </c>
      <c r="F46" s="59">
        <v>1</v>
      </c>
      <c r="G46" s="60">
        <v>0.85</v>
      </c>
      <c r="H46" s="61">
        <f>F46*G46</f>
        <v>0.85</v>
      </c>
      <c r="I46" s="62" t="s">
        <v>110</v>
      </c>
    </row>
    <row r="47" spans="1:9" s="41" customFormat="1" ht="315" x14ac:dyDescent="0.25">
      <c r="A47" s="45">
        <v>44</v>
      </c>
      <c r="B47" s="20" t="s">
        <v>10</v>
      </c>
      <c r="C47" s="20" t="s">
        <v>10</v>
      </c>
      <c r="D47" s="35" t="s">
        <v>56</v>
      </c>
      <c r="F47" s="63">
        <v>1</v>
      </c>
      <c r="G47" s="64">
        <v>0.8</v>
      </c>
      <c r="H47" s="61">
        <f>F47*G47</f>
        <v>0.8</v>
      </c>
      <c r="I47" s="56" t="s">
        <v>162</v>
      </c>
    </row>
    <row r="48" spans="1:9" ht="110.25" x14ac:dyDescent="0.25">
      <c r="A48" s="46">
        <v>45</v>
      </c>
      <c r="B48" s="20" t="s">
        <v>10</v>
      </c>
      <c r="C48" s="20" t="s">
        <v>10</v>
      </c>
      <c r="D48" s="20" t="s">
        <v>57</v>
      </c>
      <c r="F48" s="59">
        <v>1</v>
      </c>
      <c r="G48" s="60">
        <v>0.98</v>
      </c>
      <c r="H48" s="61">
        <f>F48*G48</f>
        <v>0.98</v>
      </c>
      <c r="I48" s="55" t="s">
        <v>101</v>
      </c>
    </row>
    <row r="49" spans="1:9" ht="195" x14ac:dyDescent="0.25">
      <c r="A49" s="46">
        <v>46</v>
      </c>
      <c r="B49" s="20" t="s">
        <v>10</v>
      </c>
      <c r="C49" s="20" t="s">
        <v>10</v>
      </c>
      <c r="D49" s="20" t="s">
        <v>58</v>
      </c>
      <c r="F49" s="59">
        <v>1</v>
      </c>
      <c r="G49" s="60">
        <v>0.93</v>
      </c>
      <c r="H49" s="61">
        <f t="shared" si="0"/>
        <v>0.93</v>
      </c>
      <c r="I49" s="57" t="s">
        <v>104</v>
      </c>
    </row>
    <row r="50" spans="1:9" s="36" customFormat="1" ht="90.75" customHeight="1" x14ac:dyDescent="0.25">
      <c r="A50" s="47">
        <v>47</v>
      </c>
      <c r="B50" s="35" t="s">
        <v>10</v>
      </c>
      <c r="C50" s="35" t="s">
        <v>10</v>
      </c>
      <c r="D50" s="35" t="s">
        <v>59</v>
      </c>
      <c r="F50" s="66">
        <v>1</v>
      </c>
      <c r="G50" s="67">
        <v>0.95</v>
      </c>
      <c r="H50" s="61">
        <f t="shared" si="0"/>
        <v>0.95</v>
      </c>
      <c r="I50" s="58" t="s">
        <v>151</v>
      </c>
    </row>
    <row r="51" spans="1:9" ht="142.5" customHeight="1" x14ac:dyDescent="0.25">
      <c r="A51" s="46">
        <v>48</v>
      </c>
      <c r="B51" s="20" t="s">
        <v>10</v>
      </c>
      <c r="C51" s="20" t="s">
        <v>10</v>
      </c>
      <c r="D51" s="20" t="s">
        <v>60</v>
      </c>
      <c r="F51" s="59">
        <v>1</v>
      </c>
      <c r="G51" s="60">
        <v>0.85</v>
      </c>
      <c r="H51" s="61">
        <f t="shared" si="0"/>
        <v>0.85</v>
      </c>
      <c r="I51" s="55" t="s">
        <v>146</v>
      </c>
    </row>
  </sheetData>
  <mergeCells count="2">
    <mergeCell ref="B2:D2"/>
    <mergeCell ref="F2:I2"/>
  </mergeCells>
  <pageMargins left="0.511811024" right="0.511811024" top="0.78740157499999996" bottom="0.78740157499999996" header="0.31496062000000002" footer="0.31496062000000002"/>
  <pageSetup paperSize="9" orientation="portrait" horizontalDpi="200" verticalDpi="20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1"/>
  <sheetViews>
    <sheetView zoomScaleNormal="100" workbookViewId="0">
      <pane xSplit="4" ySplit="3" topLeftCell="E50" activePane="bottomRight" state="frozen"/>
      <selection pane="topRight" activeCell="E1" sqref="E1"/>
      <selection pane="bottomLeft" activeCell="A4" sqref="A4"/>
      <selection pane="bottomRight" activeCell="H51" sqref="H51"/>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135" x14ac:dyDescent="0.25">
      <c r="A4" s="45">
        <v>1</v>
      </c>
      <c r="B4" s="40" t="s">
        <v>3</v>
      </c>
      <c r="C4" s="40" t="s">
        <v>4</v>
      </c>
      <c r="D4" s="40" t="s">
        <v>61</v>
      </c>
      <c r="F4" s="63">
        <v>1</v>
      </c>
      <c r="G4" s="64">
        <v>0.96</v>
      </c>
      <c r="H4" s="61">
        <f>F4*G4</f>
        <v>0.96</v>
      </c>
      <c r="I4" s="65" t="s">
        <v>388</v>
      </c>
    </row>
    <row r="5" spans="1:9" ht="409.5" x14ac:dyDescent="0.25">
      <c r="A5" s="46">
        <v>2</v>
      </c>
      <c r="B5" s="20" t="s">
        <v>3</v>
      </c>
      <c r="C5" s="20" t="s">
        <v>4</v>
      </c>
      <c r="D5" s="20" t="s">
        <v>62</v>
      </c>
      <c r="F5" s="59">
        <v>1</v>
      </c>
      <c r="G5" s="60">
        <v>0.82</v>
      </c>
      <c r="H5" s="61">
        <f t="shared" ref="H5:H51" si="0">F5*G5</f>
        <v>0.82</v>
      </c>
      <c r="I5" s="54" t="s">
        <v>389</v>
      </c>
    </row>
    <row r="6" spans="1:9" ht="390" x14ac:dyDescent="0.25">
      <c r="A6" s="46">
        <v>3</v>
      </c>
      <c r="B6" s="20" t="s">
        <v>3</v>
      </c>
      <c r="C6" s="20" t="s">
        <v>4</v>
      </c>
      <c r="D6" s="20" t="s">
        <v>63</v>
      </c>
      <c r="F6" s="63">
        <v>1</v>
      </c>
      <c r="G6" s="64">
        <v>0.86</v>
      </c>
      <c r="H6" s="61">
        <f t="shared" si="0"/>
        <v>0.86</v>
      </c>
      <c r="I6" s="54" t="s">
        <v>339</v>
      </c>
    </row>
    <row r="7" spans="1:9" ht="345" x14ac:dyDescent="0.25">
      <c r="A7" s="46">
        <v>4</v>
      </c>
      <c r="B7" s="20" t="s">
        <v>3</v>
      </c>
      <c r="C7" s="20" t="s">
        <v>4</v>
      </c>
      <c r="D7" s="20" t="s">
        <v>64</v>
      </c>
      <c r="F7" s="63">
        <v>1</v>
      </c>
      <c r="G7" s="64">
        <v>0.9</v>
      </c>
      <c r="H7" s="61">
        <f t="shared" si="0"/>
        <v>0.9</v>
      </c>
      <c r="I7" s="54" t="s">
        <v>340</v>
      </c>
    </row>
    <row r="8" spans="1:9" ht="409.5" x14ac:dyDescent="0.25">
      <c r="A8" s="46">
        <v>5</v>
      </c>
      <c r="B8" s="20" t="s">
        <v>3</v>
      </c>
      <c r="C8" s="20" t="s">
        <v>4</v>
      </c>
      <c r="D8" s="20" t="s">
        <v>65</v>
      </c>
      <c r="F8" s="63">
        <v>1</v>
      </c>
      <c r="G8" s="64">
        <v>0.78</v>
      </c>
      <c r="H8" s="61">
        <f t="shared" si="0"/>
        <v>0.78</v>
      </c>
      <c r="I8" s="54" t="s">
        <v>390</v>
      </c>
    </row>
    <row r="9" spans="1:9" s="36" customFormat="1" ht="409.5" x14ac:dyDescent="0.25">
      <c r="A9" s="47">
        <v>6</v>
      </c>
      <c r="B9" s="35" t="s">
        <v>3</v>
      </c>
      <c r="C9" s="35" t="s">
        <v>4</v>
      </c>
      <c r="D9" s="35" t="s">
        <v>66</v>
      </c>
      <c r="F9" s="63">
        <v>1</v>
      </c>
      <c r="G9" s="64">
        <v>0.73</v>
      </c>
      <c r="H9" s="61">
        <f t="shared" si="0"/>
        <v>0.73</v>
      </c>
      <c r="I9" s="58" t="s">
        <v>391</v>
      </c>
    </row>
    <row r="10" spans="1:9" ht="135" x14ac:dyDescent="0.25">
      <c r="A10" s="46">
        <v>7</v>
      </c>
      <c r="B10" s="20" t="s">
        <v>3</v>
      </c>
      <c r="C10" s="20" t="s">
        <v>4</v>
      </c>
      <c r="D10" s="20" t="s">
        <v>67</v>
      </c>
      <c r="F10" s="63">
        <v>1</v>
      </c>
      <c r="G10" s="64">
        <v>0.82</v>
      </c>
      <c r="H10" s="61">
        <f t="shared" si="0"/>
        <v>0.82</v>
      </c>
      <c r="I10" s="54" t="s">
        <v>343</v>
      </c>
    </row>
    <row r="11" spans="1:9" ht="315" x14ac:dyDescent="0.25">
      <c r="A11" s="46">
        <v>8</v>
      </c>
      <c r="B11" s="20" t="s">
        <v>3</v>
      </c>
      <c r="C11" s="20" t="s">
        <v>4</v>
      </c>
      <c r="D11" s="20" t="s">
        <v>68</v>
      </c>
      <c r="F11" s="63">
        <v>1</v>
      </c>
      <c r="G11" s="64">
        <v>0.9</v>
      </c>
      <c r="H11" s="61">
        <f t="shared" si="0"/>
        <v>0.9</v>
      </c>
      <c r="I11" s="55" t="s">
        <v>344</v>
      </c>
    </row>
    <row r="12" spans="1:9" ht="135" x14ac:dyDescent="0.25">
      <c r="A12" s="46">
        <v>9</v>
      </c>
      <c r="B12" s="20" t="s">
        <v>3</v>
      </c>
      <c r="C12" s="20" t="s">
        <v>4</v>
      </c>
      <c r="D12" s="20" t="s">
        <v>69</v>
      </c>
      <c r="F12" s="63">
        <v>1</v>
      </c>
      <c r="G12" s="64">
        <v>0.84</v>
      </c>
      <c r="H12" s="61">
        <f t="shared" si="0"/>
        <v>0.84</v>
      </c>
      <c r="I12" s="54" t="s">
        <v>345</v>
      </c>
    </row>
    <row r="13" spans="1:9" s="36" customFormat="1" ht="126" x14ac:dyDescent="0.25">
      <c r="A13" s="47">
        <v>10</v>
      </c>
      <c r="B13" s="35" t="s">
        <v>3</v>
      </c>
      <c r="C13" s="20" t="s">
        <v>4</v>
      </c>
      <c r="D13" s="35" t="s">
        <v>70</v>
      </c>
      <c r="F13" s="63">
        <v>1</v>
      </c>
      <c r="G13" s="64">
        <v>0.97</v>
      </c>
      <c r="H13" s="61">
        <f t="shared" si="0"/>
        <v>0.97</v>
      </c>
      <c r="I13" s="57" t="s">
        <v>380</v>
      </c>
    </row>
    <row r="14" spans="1:9" ht="135" x14ac:dyDescent="0.25">
      <c r="A14" s="46">
        <v>11</v>
      </c>
      <c r="B14" s="20" t="s">
        <v>25</v>
      </c>
      <c r="C14" s="20" t="s">
        <v>26</v>
      </c>
      <c r="D14" s="20" t="s">
        <v>71</v>
      </c>
      <c r="F14" s="63">
        <v>1</v>
      </c>
      <c r="G14" s="64">
        <v>0.98</v>
      </c>
      <c r="H14" s="61">
        <f t="shared" si="0"/>
        <v>0.98</v>
      </c>
      <c r="I14" s="54" t="s">
        <v>291</v>
      </c>
    </row>
    <row r="15" spans="1:9" ht="75" x14ac:dyDescent="0.25">
      <c r="A15" s="46">
        <v>12</v>
      </c>
      <c r="B15" s="20" t="s">
        <v>25</v>
      </c>
      <c r="C15" s="20" t="s">
        <v>26</v>
      </c>
      <c r="D15" s="20" t="s">
        <v>72</v>
      </c>
      <c r="F15" s="63">
        <v>1</v>
      </c>
      <c r="G15" s="64">
        <v>0.9</v>
      </c>
      <c r="H15" s="61">
        <f t="shared" si="0"/>
        <v>0.9</v>
      </c>
      <c r="I15" s="54" t="s">
        <v>292</v>
      </c>
    </row>
    <row r="16" spans="1:9" s="36" customFormat="1" ht="94.5" x14ac:dyDescent="0.25">
      <c r="A16" s="47">
        <v>13</v>
      </c>
      <c r="B16" s="35" t="s">
        <v>25</v>
      </c>
      <c r="C16" s="35" t="s">
        <v>26</v>
      </c>
      <c r="D16" s="35" t="s">
        <v>73</v>
      </c>
      <c r="F16" s="63">
        <v>1</v>
      </c>
      <c r="G16" s="64">
        <v>0.96</v>
      </c>
      <c r="H16" s="61">
        <f t="shared" si="0"/>
        <v>0.96</v>
      </c>
      <c r="I16" s="57" t="s">
        <v>293</v>
      </c>
    </row>
    <row r="17" spans="1:10" ht="63" x14ac:dyDescent="0.25">
      <c r="A17" s="46">
        <v>14</v>
      </c>
      <c r="B17" s="20" t="s">
        <v>25</v>
      </c>
      <c r="C17" s="20" t="s">
        <v>26</v>
      </c>
      <c r="D17" s="20" t="s">
        <v>74</v>
      </c>
      <c r="F17" s="63">
        <v>1</v>
      </c>
      <c r="G17" s="64">
        <v>1</v>
      </c>
      <c r="H17" s="61">
        <f t="shared" si="0"/>
        <v>1</v>
      </c>
      <c r="I17" s="54" t="s">
        <v>100</v>
      </c>
    </row>
    <row r="18" spans="1:10" ht="110.25" x14ac:dyDescent="0.25">
      <c r="A18" s="46">
        <v>15</v>
      </c>
      <c r="B18" s="20" t="s">
        <v>25</v>
      </c>
      <c r="C18" s="20" t="s">
        <v>26</v>
      </c>
      <c r="D18" s="20" t="s">
        <v>75</v>
      </c>
      <c r="F18" s="63">
        <v>1</v>
      </c>
      <c r="G18" s="64">
        <v>1</v>
      </c>
      <c r="H18" s="61">
        <f t="shared" si="0"/>
        <v>1</v>
      </c>
      <c r="I18" s="54" t="s">
        <v>100</v>
      </c>
    </row>
    <row r="19" spans="1:10" ht="47.25" x14ac:dyDescent="0.25">
      <c r="A19" s="46">
        <v>16</v>
      </c>
      <c r="B19" s="20" t="s">
        <v>5</v>
      </c>
      <c r="C19" s="40" t="s">
        <v>6</v>
      </c>
      <c r="D19" s="20" t="s">
        <v>76</v>
      </c>
      <c r="F19" s="63">
        <v>1</v>
      </c>
      <c r="G19" s="64">
        <v>1</v>
      </c>
      <c r="H19" s="61">
        <f t="shared" si="0"/>
        <v>1</v>
      </c>
      <c r="I19" s="54" t="s">
        <v>100</v>
      </c>
    </row>
    <row r="20" spans="1:10" ht="120" x14ac:dyDescent="0.25">
      <c r="A20" s="46">
        <v>17</v>
      </c>
      <c r="B20" s="20" t="s">
        <v>5</v>
      </c>
      <c r="C20" s="40" t="s">
        <v>6</v>
      </c>
      <c r="D20" s="20" t="s">
        <v>77</v>
      </c>
      <c r="F20" s="63">
        <v>1</v>
      </c>
      <c r="G20" s="64">
        <v>0.8</v>
      </c>
      <c r="H20" s="61">
        <f t="shared" si="0"/>
        <v>0.8</v>
      </c>
      <c r="I20" s="54" t="s">
        <v>294</v>
      </c>
    </row>
    <row r="21" spans="1:10" s="36" customFormat="1" ht="210" x14ac:dyDescent="0.25">
      <c r="A21" s="47">
        <v>18</v>
      </c>
      <c r="B21" s="35" t="s">
        <v>5</v>
      </c>
      <c r="C21" s="40" t="s">
        <v>6</v>
      </c>
      <c r="D21" s="35" t="s">
        <v>78</v>
      </c>
      <c r="F21" s="63">
        <v>1</v>
      </c>
      <c r="G21" s="64">
        <v>0.9</v>
      </c>
      <c r="H21" s="61">
        <f t="shared" si="0"/>
        <v>0.9</v>
      </c>
      <c r="I21" s="57" t="s">
        <v>275</v>
      </c>
    </row>
    <row r="22" spans="1:10" ht="270" x14ac:dyDescent="0.25">
      <c r="A22" s="46">
        <v>19</v>
      </c>
      <c r="B22" s="20" t="s">
        <v>5</v>
      </c>
      <c r="C22" s="40" t="s">
        <v>6</v>
      </c>
      <c r="D22" s="20" t="s">
        <v>79</v>
      </c>
      <c r="F22" s="63">
        <v>1</v>
      </c>
      <c r="G22" s="64">
        <v>0.81</v>
      </c>
      <c r="H22" s="61">
        <f t="shared" si="0"/>
        <v>0.81</v>
      </c>
      <c r="I22" s="54" t="s">
        <v>295</v>
      </c>
    </row>
    <row r="23" spans="1:10" ht="78.75" x14ac:dyDescent="0.25">
      <c r="A23" s="46">
        <v>20</v>
      </c>
      <c r="B23" s="20" t="s">
        <v>5</v>
      </c>
      <c r="C23" s="40" t="s">
        <v>6</v>
      </c>
      <c r="D23" s="20" t="s">
        <v>80</v>
      </c>
      <c r="F23" s="63">
        <v>1</v>
      </c>
      <c r="G23" s="64">
        <v>1</v>
      </c>
      <c r="H23" s="61">
        <f t="shared" si="0"/>
        <v>1</v>
      </c>
      <c r="I23" s="57" t="s">
        <v>100</v>
      </c>
    </row>
    <row r="24" spans="1:10" ht="141.75" x14ac:dyDescent="0.25">
      <c r="A24" s="46">
        <v>21</v>
      </c>
      <c r="B24" s="20" t="s">
        <v>5</v>
      </c>
      <c r="C24" s="40" t="s">
        <v>6</v>
      </c>
      <c r="D24" s="20" t="s">
        <v>81</v>
      </c>
      <c r="F24" s="63">
        <v>1</v>
      </c>
      <c r="G24" s="64">
        <v>0.9</v>
      </c>
      <c r="H24" s="61">
        <f t="shared" si="0"/>
        <v>0.9</v>
      </c>
      <c r="I24" s="54" t="s">
        <v>296</v>
      </c>
      <c r="J24" s="1" t="s">
        <v>24</v>
      </c>
    </row>
    <row r="25" spans="1:10" s="34" customFormat="1" ht="150" customHeight="1" x14ac:dyDescent="0.25">
      <c r="A25" s="47">
        <v>22</v>
      </c>
      <c r="B25" s="35" t="s">
        <v>5</v>
      </c>
      <c r="C25" s="35" t="s">
        <v>6</v>
      </c>
      <c r="D25" s="35" t="s">
        <v>82</v>
      </c>
      <c r="F25" s="63">
        <v>1</v>
      </c>
      <c r="G25" s="64">
        <v>1</v>
      </c>
      <c r="H25" s="61">
        <f t="shared" si="0"/>
        <v>1</v>
      </c>
      <c r="I25" s="58" t="s">
        <v>100</v>
      </c>
    </row>
    <row r="26" spans="1:10" ht="173.25" x14ac:dyDescent="0.25">
      <c r="A26" s="46">
        <v>23</v>
      </c>
      <c r="B26" s="20" t="s">
        <v>5</v>
      </c>
      <c r="C26" s="20" t="s">
        <v>6</v>
      </c>
      <c r="D26" s="20" t="s">
        <v>83</v>
      </c>
      <c r="F26" s="63">
        <v>1</v>
      </c>
      <c r="G26" s="64">
        <v>1</v>
      </c>
      <c r="H26" s="61">
        <f t="shared" si="0"/>
        <v>1</v>
      </c>
      <c r="I26" s="54" t="s">
        <v>100</v>
      </c>
    </row>
    <row r="27" spans="1:10" ht="47.25" x14ac:dyDescent="0.25">
      <c r="A27" s="46">
        <v>24</v>
      </c>
      <c r="B27" s="20" t="s">
        <v>5</v>
      </c>
      <c r="C27" s="20" t="s">
        <v>6</v>
      </c>
      <c r="D27" s="20" t="s">
        <v>84</v>
      </c>
      <c r="F27" s="63">
        <v>1</v>
      </c>
      <c r="G27" s="64">
        <v>1</v>
      </c>
      <c r="H27" s="61">
        <f t="shared" si="0"/>
        <v>1</v>
      </c>
      <c r="I27" s="54" t="s">
        <v>100</v>
      </c>
    </row>
    <row r="28" spans="1:10" ht="94.5" x14ac:dyDescent="0.25">
      <c r="A28" s="46">
        <v>25</v>
      </c>
      <c r="B28" s="20" t="s">
        <v>5</v>
      </c>
      <c r="C28" s="20" t="s">
        <v>6</v>
      </c>
      <c r="D28" s="20" t="s">
        <v>85</v>
      </c>
      <c r="F28" s="63">
        <v>1</v>
      </c>
      <c r="G28" s="64">
        <v>1</v>
      </c>
      <c r="H28" s="61">
        <f t="shared" si="0"/>
        <v>1</v>
      </c>
      <c r="I28" s="54" t="s">
        <v>100</v>
      </c>
    </row>
    <row r="29" spans="1:10" ht="63" x14ac:dyDescent="0.25">
      <c r="A29" s="46">
        <v>26</v>
      </c>
      <c r="B29" s="20" t="s">
        <v>5</v>
      </c>
      <c r="C29" s="20" t="s">
        <v>6</v>
      </c>
      <c r="D29" s="20" t="s">
        <v>86</v>
      </c>
      <c r="F29" s="63">
        <v>1</v>
      </c>
      <c r="G29" s="64">
        <v>1</v>
      </c>
      <c r="H29" s="61">
        <f t="shared" si="0"/>
        <v>1</v>
      </c>
      <c r="I29" s="54" t="s">
        <v>100</v>
      </c>
    </row>
    <row r="30" spans="1:10" ht="135" x14ac:dyDescent="0.25">
      <c r="A30" s="46">
        <v>27</v>
      </c>
      <c r="B30" s="20" t="s">
        <v>5</v>
      </c>
      <c r="C30" s="42" t="s">
        <v>7</v>
      </c>
      <c r="D30" s="20" t="s">
        <v>87</v>
      </c>
      <c r="F30" s="63">
        <v>1</v>
      </c>
      <c r="G30" s="64">
        <v>0.9</v>
      </c>
      <c r="H30" s="61">
        <f t="shared" si="0"/>
        <v>0.9</v>
      </c>
      <c r="I30" s="54" t="s">
        <v>215</v>
      </c>
    </row>
    <row r="31" spans="1:10" ht="78.75" x14ac:dyDescent="0.25">
      <c r="A31" s="46">
        <v>28</v>
      </c>
      <c r="B31" s="20" t="s">
        <v>5</v>
      </c>
      <c r="C31" s="42" t="s">
        <v>7</v>
      </c>
      <c r="D31" s="20" t="s">
        <v>88</v>
      </c>
      <c r="F31" s="63">
        <v>1</v>
      </c>
      <c r="G31" s="64">
        <v>0.93</v>
      </c>
      <c r="H31" s="61">
        <f t="shared" si="0"/>
        <v>0.93</v>
      </c>
      <c r="I31" s="54" t="s">
        <v>297</v>
      </c>
    </row>
    <row r="32" spans="1:10" ht="47.25" x14ac:dyDescent="0.25">
      <c r="A32" s="46">
        <v>29</v>
      </c>
      <c r="B32" s="20" t="s">
        <v>5</v>
      </c>
      <c r="C32" s="42" t="s">
        <v>7</v>
      </c>
      <c r="D32" s="20" t="s">
        <v>89</v>
      </c>
      <c r="F32" s="59">
        <v>1</v>
      </c>
      <c r="G32" s="60">
        <v>1</v>
      </c>
      <c r="H32" s="61">
        <f t="shared" si="0"/>
        <v>1</v>
      </c>
      <c r="I32" s="54" t="s">
        <v>100</v>
      </c>
    </row>
    <row r="33" spans="1:16" ht="110.25" x14ac:dyDescent="0.25">
      <c r="A33" s="46">
        <v>30</v>
      </c>
      <c r="B33" s="20" t="s">
        <v>5</v>
      </c>
      <c r="C33" s="42" t="s">
        <v>7</v>
      </c>
      <c r="D33" s="20" t="s">
        <v>90</v>
      </c>
      <c r="F33" s="59">
        <v>1</v>
      </c>
      <c r="G33" s="60">
        <v>1</v>
      </c>
      <c r="H33" s="61">
        <f t="shared" si="0"/>
        <v>1</v>
      </c>
      <c r="I33" s="54" t="s">
        <v>100</v>
      </c>
    </row>
    <row r="34" spans="1:16" s="36" customFormat="1" ht="94.5" customHeight="1" x14ac:dyDescent="0.25">
      <c r="A34" s="47">
        <v>31</v>
      </c>
      <c r="B34" s="35" t="s">
        <v>8</v>
      </c>
      <c r="C34" s="35" t="s">
        <v>9</v>
      </c>
      <c r="D34" s="44" t="s">
        <v>91</v>
      </c>
      <c r="F34" s="66">
        <v>1</v>
      </c>
      <c r="G34" s="67">
        <v>1</v>
      </c>
      <c r="H34" s="61">
        <f t="shared" si="0"/>
        <v>1</v>
      </c>
      <c r="I34" s="57" t="s">
        <v>100</v>
      </c>
      <c r="K34" s="1"/>
      <c r="L34" s="1"/>
      <c r="M34" s="1"/>
      <c r="N34" s="1"/>
      <c r="O34" s="1"/>
      <c r="P34" s="1"/>
    </row>
    <row r="35" spans="1:16" ht="78.75" x14ac:dyDescent="0.25">
      <c r="A35" s="46">
        <v>32</v>
      </c>
      <c r="B35" s="40" t="s">
        <v>8</v>
      </c>
      <c r="C35" s="40" t="s">
        <v>9</v>
      </c>
      <c r="D35" s="22" t="s">
        <v>92</v>
      </c>
      <c r="F35" s="59">
        <v>1</v>
      </c>
      <c r="G35" s="60">
        <v>1</v>
      </c>
      <c r="H35" s="61">
        <f t="shared" si="0"/>
        <v>1</v>
      </c>
      <c r="I35" s="57" t="s">
        <v>100</v>
      </c>
    </row>
    <row r="36" spans="1:16" ht="47.25" x14ac:dyDescent="0.25">
      <c r="A36" s="46">
        <v>33</v>
      </c>
      <c r="B36" s="40" t="s">
        <v>8</v>
      </c>
      <c r="C36" s="40" t="s">
        <v>9</v>
      </c>
      <c r="D36" s="20" t="s">
        <v>93</v>
      </c>
      <c r="F36" s="59">
        <v>1</v>
      </c>
      <c r="G36" s="60">
        <v>1</v>
      </c>
      <c r="H36" s="61">
        <f t="shared" si="0"/>
        <v>1</v>
      </c>
      <c r="I36" s="57" t="s">
        <v>100</v>
      </c>
    </row>
    <row r="37" spans="1:16" ht="94.5" x14ac:dyDescent="0.25">
      <c r="A37" s="46">
        <v>34</v>
      </c>
      <c r="B37" s="40" t="s">
        <v>8</v>
      </c>
      <c r="C37" s="40" t="s">
        <v>9</v>
      </c>
      <c r="D37" s="20" t="s">
        <v>94</v>
      </c>
      <c r="F37" s="59">
        <v>1</v>
      </c>
      <c r="G37" s="60">
        <v>1</v>
      </c>
      <c r="H37" s="61">
        <f t="shared" si="0"/>
        <v>1</v>
      </c>
      <c r="I37" s="57" t="s">
        <v>100</v>
      </c>
    </row>
    <row r="38" spans="1:16" ht="63" x14ac:dyDescent="0.25">
      <c r="A38" s="46">
        <v>35</v>
      </c>
      <c r="B38" s="40" t="s">
        <v>8</v>
      </c>
      <c r="C38" s="40" t="s">
        <v>9</v>
      </c>
      <c r="D38" s="20" t="s">
        <v>95</v>
      </c>
      <c r="F38" s="59">
        <v>1</v>
      </c>
      <c r="G38" s="60">
        <v>1</v>
      </c>
      <c r="H38" s="61">
        <f t="shared" si="0"/>
        <v>1</v>
      </c>
      <c r="I38" s="57" t="s">
        <v>100</v>
      </c>
    </row>
    <row r="39" spans="1:16" ht="94.5" x14ac:dyDescent="0.25">
      <c r="A39" s="46">
        <v>36</v>
      </c>
      <c r="B39" s="40" t="s">
        <v>8</v>
      </c>
      <c r="C39" s="40" t="s">
        <v>9</v>
      </c>
      <c r="D39" s="20" t="s">
        <v>96</v>
      </c>
      <c r="F39" s="59">
        <v>1</v>
      </c>
      <c r="G39" s="60">
        <v>1</v>
      </c>
      <c r="H39" s="61">
        <f t="shared" si="0"/>
        <v>1</v>
      </c>
      <c r="I39" s="57" t="s">
        <v>100</v>
      </c>
    </row>
    <row r="40" spans="1:16" ht="47.25" x14ac:dyDescent="0.25">
      <c r="A40" s="46">
        <v>37</v>
      </c>
      <c r="B40" s="40" t="s">
        <v>8</v>
      </c>
      <c r="C40" s="40" t="s">
        <v>9</v>
      </c>
      <c r="D40" s="20" t="s">
        <v>97</v>
      </c>
      <c r="F40" s="59">
        <v>1</v>
      </c>
      <c r="G40" s="60">
        <v>1</v>
      </c>
      <c r="H40" s="61">
        <f t="shared" si="0"/>
        <v>1</v>
      </c>
      <c r="I40" s="57" t="s">
        <v>100</v>
      </c>
    </row>
    <row r="41" spans="1:16" s="36" customFormat="1" ht="123" customHeight="1" x14ac:dyDescent="0.25">
      <c r="A41" s="47">
        <v>38</v>
      </c>
      <c r="B41" s="35" t="s">
        <v>8</v>
      </c>
      <c r="C41" s="35" t="s">
        <v>9</v>
      </c>
      <c r="D41" s="35" t="s">
        <v>98</v>
      </c>
      <c r="F41" s="66">
        <v>1</v>
      </c>
      <c r="G41" s="67">
        <v>1</v>
      </c>
      <c r="H41" s="61">
        <f t="shared" si="0"/>
        <v>1</v>
      </c>
      <c r="I41" s="57" t="s">
        <v>100</v>
      </c>
      <c r="K41" s="1"/>
      <c r="L41" s="1"/>
      <c r="M41" s="1"/>
      <c r="N41" s="1"/>
      <c r="O41" s="1"/>
      <c r="P41" s="1"/>
    </row>
    <row r="42" spans="1:16" s="36" customFormat="1" ht="192.75" customHeight="1" x14ac:dyDescent="0.25">
      <c r="A42" s="47">
        <v>39</v>
      </c>
      <c r="B42" s="20" t="s">
        <v>10</v>
      </c>
      <c r="C42" s="20" t="s">
        <v>28</v>
      </c>
      <c r="D42" s="35" t="s">
        <v>52</v>
      </c>
      <c r="F42" s="66">
        <v>1</v>
      </c>
      <c r="G42" s="67">
        <v>1</v>
      </c>
      <c r="H42" s="61">
        <f>F42*G42</f>
        <v>1</v>
      </c>
      <c r="I42" s="58" t="s">
        <v>100</v>
      </c>
      <c r="K42" s="1"/>
      <c r="L42" s="1"/>
      <c r="M42" s="1"/>
      <c r="N42" s="1"/>
      <c r="O42" s="1"/>
      <c r="P42" s="1"/>
    </row>
    <row r="43" spans="1:16" ht="125.25" customHeight="1" x14ac:dyDescent="0.25">
      <c r="A43" s="46">
        <v>40</v>
      </c>
      <c r="B43" s="20" t="s">
        <v>10</v>
      </c>
      <c r="C43" s="20" t="s">
        <v>27</v>
      </c>
      <c r="D43" s="20" t="s">
        <v>109</v>
      </c>
      <c r="F43" s="59">
        <v>1</v>
      </c>
      <c r="G43" s="60">
        <v>1</v>
      </c>
      <c r="H43" s="61">
        <f t="shared" si="0"/>
        <v>1</v>
      </c>
      <c r="I43" s="54" t="s">
        <v>100</v>
      </c>
      <c r="L43" s="53"/>
    </row>
    <row r="44" spans="1:16" ht="345" x14ac:dyDescent="0.25">
      <c r="A44" s="46">
        <v>41</v>
      </c>
      <c r="B44" s="20" t="s">
        <v>10</v>
      </c>
      <c r="C44" s="20" t="s">
        <v>27</v>
      </c>
      <c r="D44" s="20" t="s">
        <v>99</v>
      </c>
      <c r="F44" s="59">
        <v>1</v>
      </c>
      <c r="G44" s="60">
        <v>0.75</v>
      </c>
      <c r="H44" s="61">
        <f t="shared" si="0"/>
        <v>0.75</v>
      </c>
      <c r="I44" s="55" t="s">
        <v>132</v>
      </c>
    </row>
    <row r="45" spans="1:16" ht="126.75" customHeight="1" x14ac:dyDescent="0.25">
      <c r="A45" s="46">
        <v>42</v>
      </c>
      <c r="B45" s="20" t="s">
        <v>10</v>
      </c>
      <c r="C45" s="20" t="s">
        <v>10</v>
      </c>
      <c r="D45" s="20" t="s">
        <v>54</v>
      </c>
      <c r="F45" s="59">
        <v>1</v>
      </c>
      <c r="G45" s="60">
        <v>0.85</v>
      </c>
      <c r="H45" s="61">
        <f t="shared" si="0"/>
        <v>0.85</v>
      </c>
      <c r="I45" s="55" t="s">
        <v>154</v>
      </c>
    </row>
    <row r="46" spans="1:16" ht="240.75" customHeight="1" x14ac:dyDescent="0.25">
      <c r="A46" s="46">
        <v>43</v>
      </c>
      <c r="B46" s="20" t="s">
        <v>10</v>
      </c>
      <c r="C46" s="20" t="s">
        <v>29</v>
      </c>
      <c r="D46" s="20" t="s">
        <v>55</v>
      </c>
      <c r="F46" s="59">
        <v>1</v>
      </c>
      <c r="G46" s="60">
        <v>0.85</v>
      </c>
      <c r="H46" s="61">
        <f t="shared" si="0"/>
        <v>0.85</v>
      </c>
      <c r="I46" s="54" t="s">
        <v>108</v>
      </c>
    </row>
    <row r="47" spans="1:16" s="41" customFormat="1" ht="315" x14ac:dyDescent="0.25">
      <c r="A47" s="45">
        <v>44</v>
      </c>
      <c r="B47" s="20" t="s">
        <v>10</v>
      </c>
      <c r="C47" s="20" t="s">
        <v>10</v>
      </c>
      <c r="D47" s="35" t="s">
        <v>56</v>
      </c>
      <c r="F47" s="63">
        <v>1</v>
      </c>
      <c r="G47" s="64">
        <v>0.8</v>
      </c>
      <c r="H47" s="61">
        <f t="shared" si="0"/>
        <v>0.8</v>
      </c>
      <c r="I47" s="55" t="s">
        <v>162</v>
      </c>
      <c r="K47" s="1"/>
      <c r="L47" s="1"/>
      <c r="M47" s="1"/>
      <c r="N47" s="1"/>
      <c r="O47" s="1"/>
      <c r="P47" s="1"/>
    </row>
    <row r="48" spans="1:16" ht="110.25" x14ac:dyDescent="0.25">
      <c r="A48" s="46">
        <v>45</v>
      </c>
      <c r="B48" s="20" t="s">
        <v>10</v>
      </c>
      <c r="C48" s="20" t="s">
        <v>10</v>
      </c>
      <c r="D48" s="20" t="s">
        <v>57</v>
      </c>
      <c r="F48" s="59">
        <v>1</v>
      </c>
      <c r="G48" s="60">
        <v>0.98</v>
      </c>
      <c r="H48" s="61">
        <f>F48*G48</f>
        <v>0.98</v>
      </c>
      <c r="I48" s="55" t="s">
        <v>101</v>
      </c>
    </row>
    <row r="49" spans="1:16" ht="195" x14ac:dyDescent="0.25">
      <c r="A49" s="46">
        <v>46</v>
      </c>
      <c r="B49" s="20" t="s">
        <v>10</v>
      </c>
      <c r="C49" s="20" t="s">
        <v>10</v>
      </c>
      <c r="D49" s="20" t="s">
        <v>58</v>
      </c>
      <c r="F49" s="59">
        <v>1</v>
      </c>
      <c r="G49" s="60">
        <v>0.93</v>
      </c>
      <c r="H49" s="61">
        <f t="shared" si="0"/>
        <v>0.93</v>
      </c>
      <c r="I49" s="57" t="s">
        <v>104</v>
      </c>
    </row>
    <row r="50" spans="1:16" s="36" customFormat="1" ht="90.75" customHeight="1" x14ac:dyDescent="0.25">
      <c r="A50" s="47">
        <v>47</v>
      </c>
      <c r="B50" s="35" t="s">
        <v>10</v>
      </c>
      <c r="C50" s="35" t="s">
        <v>10</v>
      </c>
      <c r="D50" s="35" t="s">
        <v>59</v>
      </c>
      <c r="F50" s="66">
        <v>1</v>
      </c>
      <c r="G50" s="67">
        <v>0.95</v>
      </c>
      <c r="H50" s="61">
        <f t="shared" si="0"/>
        <v>0.95</v>
      </c>
      <c r="I50" s="58" t="s">
        <v>151</v>
      </c>
      <c r="K50" s="1"/>
      <c r="L50" s="1"/>
      <c r="M50" s="1"/>
      <c r="N50" s="1"/>
      <c r="O50" s="1"/>
      <c r="P50" s="1"/>
    </row>
    <row r="51" spans="1:16" ht="142.5" customHeight="1" x14ac:dyDescent="0.25">
      <c r="A51" s="46">
        <v>48</v>
      </c>
      <c r="B51" s="20" t="s">
        <v>10</v>
      </c>
      <c r="C51" s="20" t="s">
        <v>10</v>
      </c>
      <c r="D51" s="20" t="s">
        <v>60</v>
      </c>
      <c r="F51" s="59">
        <v>1</v>
      </c>
      <c r="G51" s="60">
        <v>1</v>
      </c>
      <c r="H51" s="61">
        <f t="shared" si="0"/>
        <v>1</v>
      </c>
      <c r="I51" s="54" t="s">
        <v>100</v>
      </c>
    </row>
  </sheetData>
  <mergeCells count="2">
    <mergeCell ref="B2:D2"/>
    <mergeCell ref="F2:I2"/>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52"/>
  <sheetViews>
    <sheetView zoomScaleNormal="100" workbookViewId="0">
      <pane xSplit="4" ySplit="3" topLeftCell="E50" activePane="bottomRight" state="frozen"/>
      <selection pane="topRight" activeCell="E1" sqref="E1"/>
      <selection pane="bottomLeft" activeCell="A4" sqref="A4"/>
      <selection pane="bottomRight" activeCell="H51" sqref="H51"/>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19" x14ac:dyDescent="0.25">
      <c r="I1" s="1"/>
    </row>
    <row r="2" spans="1:19" ht="39.75" customHeight="1" x14ac:dyDescent="0.25">
      <c r="B2" s="88" t="s">
        <v>11</v>
      </c>
      <c r="C2" s="88"/>
      <c r="D2" s="88"/>
      <c r="F2" s="88" t="s">
        <v>50</v>
      </c>
      <c r="G2" s="88"/>
      <c r="H2" s="88"/>
      <c r="I2" s="88"/>
    </row>
    <row r="3" spans="1:19" ht="30" x14ac:dyDescent="0.25">
      <c r="B3" s="2" t="s">
        <v>0</v>
      </c>
      <c r="C3" s="2" t="s">
        <v>1</v>
      </c>
      <c r="D3" s="43" t="s">
        <v>2</v>
      </c>
      <c r="F3" s="3" t="s">
        <v>12</v>
      </c>
      <c r="G3" s="3" t="s">
        <v>13</v>
      </c>
      <c r="H3" s="3" t="s">
        <v>16</v>
      </c>
      <c r="I3" s="3" t="s">
        <v>14</v>
      </c>
    </row>
    <row r="4" spans="1:19" s="41" customFormat="1" ht="210" x14ac:dyDescent="0.25">
      <c r="A4" s="45">
        <v>1</v>
      </c>
      <c r="B4" s="40" t="s">
        <v>3</v>
      </c>
      <c r="C4" s="40" t="s">
        <v>4</v>
      </c>
      <c r="D4" s="40" t="s">
        <v>61</v>
      </c>
      <c r="F4" s="63">
        <v>1</v>
      </c>
      <c r="G4" s="64">
        <v>0.94</v>
      </c>
      <c r="H4" s="61">
        <f>F4*G4</f>
        <v>0.94</v>
      </c>
      <c r="I4" s="65" t="s">
        <v>392</v>
      </c>
      <c r="K4" s="65"/>
      <c r="L4" s="1"/>
      <c r="M4" s="1"/>
      <c r="N4" s="1"/>
      <c r="O4" s="1"/>
      <c r="P4" s="1"/>
      <c r="Q4" s="1"/>
      <c r="R4" s="1"/>
      <c r="S4" s="1"/>
    </row>
    <row r="5" spans="1:19" ht="409.5" x14ac:dyDescent="0.25">
      <c r="A5" s="46">
        <v>2</v>
      </c>
      <c r="B5" s="20" t="s">
        <v>3</v>
      </c>
      <c r="C5" s="20" t="s">
        <v>4</v>
      </c>
      <c r="D5" s="20" t="s">
        <v>62</v>
      </c>
      <c r="F5" s="59">
        <v>1</v>
      </c>
      <c r="G5" s="60">
        <v>0.8</v>
      </c>
      <c r="H5" s="61">
        <f t="shared" ref="H5:H51" si="0">F5*G5</f>
        <v>0.8</v>
      </c>
      <c r="I5" s="54" t="s">
        <v>393</v>
      </c>
    </row>
    <row r="6" spans="1:19" ht="409.5" x14ac:dyDescent="0.25">
      <c r="A6" s="46">
        <v>3</v>
      </c>
      <c r="B6" s="20" t="s">
        <v>3</v>
      </c>
      <c r="C6" s="20" t="s">
        <v>4</v>
      </c>
      <c r="D6" s="20" t="s">
        <v>63</v>
      </c>
      <c r="F6" s="63">
        <v>1</v>
      </c>
      <c r="G6" s="64">
        <v>0.8</v>
      </c>
      <c r="H6" s="61">
        <f t="shared" si="0"/>
        <v>0.8</v>
      </c>
      <c r="I6" s="54" t="s">
        <v>394</v>
      </c>
    </row>
    <row r="7" spans="1:19" ht="405" x14ac:dyDescent="0.25">
      <c r="A7" s="46">
        <v>4</v>
      </c>
      <c r="B7" s="20" t="s">
        <v>3</v>
      </c>
      <c r="C7" s="20" t="s">
        <v>4</v>
      </c>
      <c r="D7" s="20" t="s">
        <v>64</v>
      </c>
      <c r="F7" s="63">
        <v>1</v>
      </c>
      <c r="G7" s="64">
        <v>0.86</v>
      </c>
      <c r="H7" s="61">
        <f t="shared" si="0"/>
        <v>0.86</v>
      </c>
      <c r="I7" s="54" t="s">
        <v>395</v>
      </c>
    </row>
    <row r="8" spans="1:19" ht="409.5" x14ac:dyDescent="0.25">
      <c r="A8" s="46">
        <v>5</v>
      </c>
      <c r="B8" s="20" t="s">
        <v>3</v>
      </c>
      <c r="C8" s="20" t="s">
        <v>4</v>
      </c>
      <c r="D8" s="20" t="s">
        <v>65</v>
      </c>
      <c r="F8" s="63">
        <v>1</v>
      </c>
      <c r="G8" s="64">
        <v>0.74</v>
      </c>
      <c r="H8" s="61">
        <f t="shared" si="0"/>
        <v>0.74</v>
      </c>
      <c r="I8" s="54" t="s">
        <v>396</v>
      </c>
    </row>
    <row r="9" spans="1:19" s="36" customFormat="1" ht="409.5" x14ac:dyDescent="0.25">
      <c r="A9" s="47">
        <v>6</v>
      </c>
      <c r="B9" s="35" t="s">
        <v>3</v>
      </c>
      <c r="C9" s="35" t="s">
        <v>4</v>
      </c>
      <c r="D9" s="35" t="s">
        <v>66</v>
      </c>
      <c r="F9" s="63">
        <v>1</v>
      </c>
      <c r="G9" s="64">
        <v>0.56999999999999995</v>
      </c>
      <c r="H9" s="61">
        <f t="shared" si="0"/>
        <v>0.56999999999999995</v>
      </c>
      <c r="I9" s="57" t="s">
        <v>397</v>
      </c>
      <c r="K9" s="1"/>
      <c r="L9" s="1"/>
      <c r="M9" s="1"/>
      <c r="N9" s="1"/>
      <c r="O9" s="1"/>
      <c r="P9" s="1"/>
      <c r="Q9" s="1"/>
      <c r="R9" s="1"/>
      <c r="S9" s="1"/>
    </row>
    <row r="10" spans="1:19" ht="390" x14ac:dyDescent="0.25">
      <c r="A10" s="46">
        <v>7</v>
      </c>
      <c r="B10" s="20" t="s">
        <v>3</v>
      </c>
      <c r="C10" s="20" t="s">
        <v>4</v>
      </c>
      <c r="D10" s="20" t="s">
        <v>67</v>
      </c>
      <c r="F10" s="63">
        <v>1</v>
      </c>
      <c r="G10" s="64">
        <v>0.75</v>
      </c>
      <c r="H10" s="61">
        <f t="shared" si="0"/>
        <v>0.75</v>
      </c>
      <c r="I10" s="54" t="s">
        <v>398</v>
      </c>
    </row>
    <row r="11" spans="1:19" ht="409.5" x14ac:dyDescent="0.25">
      <c r="A11" s="46">
        <v>8</v>
      </c>
      <c r="B11" s="20" t="s">
        <v>3</v>
      </c>
      <c r="C11" s="20" t="s">
        <v>4</v>
      </c>
      <c r="D11" s="20" t="s">
        <v>68</v>
      </c>
      <c r="F11" s="63">
        <v>1</v>
      </c>
      <c r="G11" s="64">
        <v>0.78</v>
      </c>
      <c r="H11" s="61">
        <f t="shared" si="0"/>
        <v>0.78</v>
      </c>
      <c r="I11" s="54" t="s">
        <v>399</v>
      </c>
    </row>
    <row r="12" spans="1:19" ht="135" x14ac:dyDescent="0.25">
      <c r="A12" s="46">
        <v>9</v>
      </c>
      <c r="B12" s="20" t="s">
        <v>3</v>
      </c>
      <c r="C12" s="20" t="s">
        <v>4</v>
      </c>
      <c r="D12" s="20" t="s">
        <v>69</v>
      </c>
      <c r="F12" s="63">
        <v>1</v>
      </c>
      <c r="G12" s="64">
        <v>0.84</v>
      </c>
      <c r="H12" s="61">
        <f t="shared" si="0"/>
        <v>0.84</v>
      </c>
      <c r="I12" s="54" t="s">
        <v>345</v>
      </c>
    </row>
    <row r="13" spans="1:19" s="36" customFormat="1" ht="409.5" x14ac:dyDescent="0.25">
      <c r="A13" s="47">
        <v>10</v>
      </c>
      <c r="B13" s="35" t="s">
        <v>3</v>
      </c>
      <c r="C13" s="20" t="s">
        <v>4</v>
      </c>
      <c r="D13" s="35" t="s">
        <v>70</v>
      </c>
      <c r="F13" s="63">
        <v>1</v>
      </c>
      <c r="G13" s="64">
        <v>0.84</v>
      </c>
      <c r="H13" s="61">
        <f t="shared" si="0"/>
        <v>0.84</v>
      </c>
      <c r="I13" s="57" t="s">
        <v>400</v>
      </c>
      <c r="K13" s="1"/>
      <c r="L13" s="1"/>
      <c r="M13" s="1"/>
      <c r="N13" s="1"/>
      <c r="O13" s="1"/>
      <c r="P13" s="1"/>
      <c r="Q13" s="1"/>
      <c r="R13" s="1"/>
      <c r="S13" s="1"/>
    </row>
    <row r="14" spans="1:19" ht="409.5" x14ac:dyDescent="0.25">
      <c r="A14" s="46">
        <v>11</v>
      </c>
      <c r="B14" s="20" t="s">
        <v>25</v>
      </c>
      <c r="C14" s="20" t="s">
        <v>26</v>
      </c>
      <c r="D14" s="20" t="s">
        <v>71</v>
      </c>
      <c r="F14" s="63">
        <v>1</v>
      </c>
      <c r="G14" s="64">
        <v>0.84</v>
      </c>
      <c r="H14" s="61">
        <f t="shared" si="0"/>
        <v>0.84</v>
      </c>
      <c r="I14" s="54" t="s">
        <v>206</v>
      </c>
    </row>
    <row r="15" spans="1:19" ht="409.5" x14ac:dyDescent="0.25">
      <c r="A15" s="46">
        <v>12</v>
      </c>
      <c r="B15" s="20" t="s">
        <v>25</v>
      </c>
      <c r="C15" s="20" t="s">
        <v>26</v>
      </c>
      <c r="D15" s="20" t="s">
        <v>72</v>
      </c>
      <c r="F15" s="63">
        <v>1</v>
      </c>
      <c r="G15" s="64">
        <v>0.55000000000000004</v>
      </c>
      <c r="H15" s="61">
        <f t="shared" si="0"/>
        <v>0.55000000000000004</v>
      </c>
      <c r="I15" s="54" t="s">
        <v>207</v>
      </c>
    </row>
    <row r="16" spans="1:19" s="36" customFormat="1" ht="94.5" x14ac:dyDescent="0.25">
      <c r="A16" s="47">
        <v>13</v>
      </c>
      <c r="B16" s="35" t="s">
        <v>25</v>
      </c>
      <c r="C16" s="35" t="s">
        <v>26</v>
      </c>
      <c r="D16" s="35" t="s">
        <v>73</v>
      </c>
      <c r="F16" s="63">
        <v>1</v>
      </c>
      <c r="G16" s="64">
        <v>1</v>
      </c>
      <c r="H16" s="61">
        <f t="shared" si="0"/>
        <v>1</v>
      </c>
      <c r="I16" s="57" t="s">
        <v>100</v>
      </c>
      <c r="K16" s="1"/>
      <c r="L16" s="1"/>
      <c r="M16" s="1"/>
      <c r="N16" s="1"/>
      <c r="O16" s="1"/>
      <c r="P16" s="1"/>
      <c r="Q16" s="1"/>
      <c r="R16" s="1"/>
      <c r="S16" s="1"/>
    </row>
    <row r="17" spans="1:19" ht="63" x14ac:dyDescent="0.25">
      <c r="A17" s="46">
        <v>14</v>
      </c>
      <c r="B17" s="20" t="s">
        <v>25</v>
      </c>
      <c r="C17" s="20" t="s">
        <v>26</v>
      </c>
      <c r="D17" s="20" t="s">
        <v>74</v>
      </c>
      <c r="F17" s="63">
        <v>1</v>
      </c>
      <c r="G17" s="64">
        <v>1</v>
      </c>
      <c r="H17" s="61">
        <f t="shared" si="0"/>
        <v>1</v>
      </c>
      <c r="I17" s="54" t="s">
        <v>100</v>
      </c>
    </row>
    <row r="18" spans="1:19" ht="110.25" x14ac:dyDescent="0.25">
      <c r="A18" s="46">
        <v>15</v>
      </c>
      <c r="B18" s="20" t="s">
        <v>25</v>
      </c>
      <c r="C18" s="20" t="s">
        <v>26</v>
      </c>
      <c r="D18" s="20" t="s">
        <v>75</v>
      </c>
      <c r="F18" s="63">
        <v>1</v>
      </c>
      <c r="G18" s="64">
        <v>1</v>
      </c>
      <c r="H18" s="61">
        <f t="shared" si="0"/>
        <v>1</v>
      </c>
      <c r="I18" s="54" t="s">
        <v>100</v>
      </c>
    </row>
    <row r="19" spans="1:19" ht="47.25" x14ac:dyDescent="0.25">
      <c r="A19" s="46">
        <v>16</v>
      </c>
      <c r="B19" s="20" t="s">
        <v>5</v>
      </c>
      <c r="C19" s="40" t="s">
        <v>6</v>
      </c>
      <c r="D19" s="20" t="s">
        <v>76</v>
      </c>
      <c r="F19" s="63">
        <v>1</v>
      </c>
      <c r="G19" s="64">
        <v>0.9</v>
      </c>
      <c r="H19" s="61">
        <f t="shared" si="0"/>
        <v>0.9</v>
      </c>
      <c r="I19" s="54" t="s">
        <v>203</v>
      </c>
    </row>
    <row r="20" spans="1:19" ht="180" x14ac:dyDescent="0.25">
      <c r="A20" s="46">
        <v>17</v>
      </c>
      <c r="B20" s="20" t="s">
        <v>5</v>
      </c>
      <c r="C20" s="40" t="s">
        <v>6</v>
      </c>
      <c r="D20" s="20" t="s">
        <v>77</v>
      </c>
      <c r="F20" s="63">
        <v>1</v>
      </c>
      <c r="G20" s="64">
        <v>0.7</v>
      </c>
      <c r="H20" s="61">
        <f t="shared" si="0"/>
        <v>0.7</v>
      </c>
      <c r="I20" s="54" t="s">
        <v>208</v>
      </c>
    </row>
    <row r="21" spans="1:19" s="36" customFormat="1" ht="409.5" x14ac:dyDescent="0.25">
      <c r="A21" s="47">
        <v>18</v>
      </c>
      <c r="B21" s="35" t="s">
        <v>5</v>
      </c>
      <c r="C21" s="40" t="s">
        <v>6</v>
      </c>
      <c r="D21" s="35" t="s">
        <v>78</v>
      </c>
      <c r="F21" s="63">
        <v>1</v>
      </c>
      <c r="G21" s="64">
        <v>0.82</v>
      </c>
      <c r="H21" s="61">
        <f t="shared" si="0"/>
        <v>0.82</v>
      </c>
      <c r="I21" s="57" t="s">
        <v>209</v>
      </c>
      <c r="K21" s="1"/>
      <c r="L21" s="1"/>
      <c r="M21" s="1"/>
      <c r="N21" s="1"/>
      <c r="O21" s="1"/>
      <c r="P21" s="1"/>
      <c r="Q21" s="1"/>
      <c r="R21" s="1"/>
      <c r="S21" s="1"/>
    </row>
    <row r="22" spans="1:19" ht="315" x14ac:dyDescent="0.25">
      <c r="A22" s="46">
        <v>19</v>
      </c>
      <c r="B22" s="20" t="s">
        <v>5</v>
      </c>
      <c r="C22" s="40" t="s">
        <v>6</v>
      </c>
      <c r="D22" s="20" t="s">
        <v>79</v>
      </c>
      <c r="F22" s="63">
        <v>1</v>
      </c>
      <c r="G22" s="64">
        <v>0.83</v>
      </c>
      <c r="H22" s="61">
        <f t="shared" si="0"/>
        <v>0.83</v>
      </c>
      <c r="I22" s="54" t="s">
        <v>210</v>
      </c>
    </row>
    <row r="23" spans="1:19" ht="78.75" x14ac:dyDescent="0.25">
      <c r="A23" s="46">
        <v>20</v>
      </c>
      <c r="B23" s="20" t="s">
        <v>5</v>
      </c>
      <c r="C23" s="40" t="s">
        <v>6</v>
      </c>
      <c r="D23" s="20" t="s">
        <v>80</v>
      </c>
      <c r="F23" s="63">
        <v>1</v>
      </c>
      <c r="G23" s="64">
        <v>0.9</v>
      </c>
      <c r="H23" s="61">
        <f t="shared" si="0"/>
        <v>0.9</v>
      </c>
      <c r="I23" s="57" t="s">
        <v>227</v>
      </c>
    </row>
    <row r="24" spans="1:19" ht="141.75" x14ac:dyDescent="0.25">
      <c r="A24" s="46">
        <v>21</v>
      </c>
      <c r="B24" s="20" t="s">
        <v>5</v>
      </c>
      <c r="C24" s="40" t="s">
        <v>6</v>
      </c>
      <c r="D24" s="20" t="s">
        <v>81</v>
      </c>
      <c r="F24" s="63">
        <v>1</v>
      </c>
      <c r="G24" s="64">
        <v>0.9</v>
      </c>
      <c r="H24" s="61">
        <f t="shared" si="0"/>
        <v>0.9</v>
      </c>
      <c r="I24" s="54" t="s">
        <v>204</v>
      </c>
      <c r="J24" s="1" t="s">
        <v>24</v>
      </c>
    </row>
    <row r="25" spans="1:19" s="34" customFormat="1" ht="150" customHeight="1" x14ac:dyDescent="0.25">
      <c r="A25" s="47">
        <v>22</v>
      </c>
      <c r="B25" s="35" t="s">
        <v>5</v>
      </c>
      <c r="C25" s="35" t="s">
        <v>6</v>
      </c>
      <c r="D25" s="35" t="s">
        <v>82</v>
      </c>
      <c r="F25" s="63">
        <v>1</v>
      </c>
      <c r="G25" s="64">
        <v>0.9</v>
      </c>
      <c r="H25" s="61">
        <f t="shared" si="0"/>
        <v>0.9</v>
      </c>
      <c r="I25" s="58" t="s">
        <v>211</v>
      </c>
      <c r="K25" s="1"/>
      <c r="L25" s="1"/>
      <c r="M25" s="1"/>
      <c r="N25" s="1"/>
      <c r="O25" s="1"/>
      <c r="P25" s="1"/>
      <c r="Q25" s="1"/>
      <c r="R25" s="1"/>
      <c r="S25" s="1"/>
    </row>
    <row r="26" spans="1:19" ht="409.5" x14ac:dyDescent="0.25">
      <c r="A26" s="46">
        <v>23</v>
      </c>
      <c r="B26" s="20" t="s">
        <v>5</v>
      </c>
      <c r="C26" s="20" t="s">
        <v>6</v>
      </c>
      <c r="D26" s="20" t="s">
        <v>200</v>
      </c>
      <c r="F26" s="63">
        <v>1</v>
      </c>
      <c r="G26" s="64">
        <v>0.8</v>
      </c>
      <c r="H26" s="61">
        <f t="shared" si="0"/>
        <v>0.8</v>
      </c>
      <c r="I26" s="54" t="s">
        <v>212</v>
      </c>
    </row>
    <row r="27" spans="1:19" ht="47.25" x14ac:dyDescent="0.25">
      <c r="A27" s="46">
        <v>24</v>
      </c>
      <c r="B27" s="20" t="s">
        <v>5</v>
      </c>
      <c r="C27" s="20" t="s">
        <v>6</v>
      </c>
      <c r="D27" s="20" t="s">
        <v>84</v>
      </c>
      <c r="F27" s="63">
        <v>1</v>
      </c>
      <c r="G27" s="64">
        <v>1</v>
      </c>
      <c r="H27" s="61">
        <f t="shared" si="0"/>
        <v>1</v>
      </c>
      <c r="I27" s="54" t="s">
        <v>100</v>
      </c>
    </row>
    <row r="28" spans="1:19" ht="409.5" x14ac:dyDescent="0.25">
      <c r="A28" s="46">
        <v>25</v>
      </c>
      <c r="B28" s="20" t="s">
        <v>5</v>
      </c>
      <c r="C28" s="20" t="s">
        <v>6</v>
      </c>
      <c r="D28" s="20" t="s">
        <v>213</v>
      </c>
      <c r="F28" s="63">
        <v>1</v>
      </c>
      <c r="G28" s="64">
        <v>0.7</v>
      </c>
      <c r="H28" s="61">
        <f t="shared" si="0"/>
        <v>0.7</v>
      </c>
      <c r="I28" s="54" t="s">
        <v>214</v>
      </c>
    </row>
    <row r="29" spans="1:19" ht="63" x14ac:dyDescent="0.25">
      <c r="A29" s="46">
        <v>26</v>
      </c>
      <c r="B29" s="20" t="s">
        <v>5</v>
      </c>
      <c r="C29" s="20" t="s">
        <v>6</v>
      </c>
      <c r="D29" s="20" t="s">
        <v>86</v>
      </c>
      <c r="F29" s="63">
        <v>1</v>
      </c>
      <c r="G29" s="64">
        <v>1</v>
      </c>
      <c r="H29" s="61">
        <f t="shared" si="0"/>
        <v>1</v>
      </c>
      <c r="I29" s="54" t="s">
        <v>100</v>
      </c>
    </row>
    <row r="30" spans="1:19" ht="135" x14ac:dyDescent="0.25">
      <c r="A30" s="46">
        <v>27</v>
      </c>
      <c r="B30" s="20" t="s">
        <v>5</v>
      </c>
      <c r="C30" s="42" t="s">
        <v>7</v>
      </c>
      <c r="D30" s="20" t="s">
        <v>87</v>
      </c>
      <c r="F30" s="63">
        <v>1</v>
      </c>
      <c r="G30" s="64">
        <v>0.9</v>
      </c>
      <c r="H30" s="61">
        <f t="shared" si="0"/>
        <v>0.9</v>
      </c>
      <c r="I30" s="54" t="s">
        <v>215</v>
      </c>
    </row>
    <row r="31" spans="1:19" ht="240" x14ac:dyDescent="0.25">
      <c r="A31" s="46">
        <v>28</v>
      </c>
      <c r="B31" s="20" t="s">
        <v>5</v>
      </c>
      <c r="C31" s="42" t="s">
        <v>7</v>
      </c>
      <c r="D31" s="20" t="s">
        <v>88</v>
      </c>
      <c r="F31" s="63">
        <v>1</v>
      </c>
      <c r="G31" s="64">
        <v>0.83</v>
      </c>
      <c r="H31" s="61">
        <f t="shared" si="0"/>
        <v>0.83</v>
      </c>
      <c r="I31" s="54" t="s">
        <v>216</v>
      </c>
    </row>
    <row r="32" spans="1:19" ht="47.25" x14ac:dyDescent="0.25">
      <c r="A32" s="46">
        <v>29</v>
      </c>
      <c r="B32" s="20" t="s">
        <v>5</v>
      </c>
      <c r="C32" s="42" t="s">
        <v>7</v>
      </c>
      <c r="D32" s="20" t="s">
        <v>89</v>
      </c>
      <c r="F32" s="59">
        <v>1</v>
      </c>
      <c r="G32" s="60">
        <v>1</v>
      </c>
      <c r="H32" s="61">
        <f t="shared" si="0"/>
        <v>1</v>
      </c>
      <c r="I32" s="54" t="s">
        <v>100</v>
      </c>
    </row>
    <row r="33" spans="1:19" ht="110.25" x14ac:dyDescent="0.25">
      <c r="A33" s="46">
        <v>30</v>
      </c>
      <c r="B33" s="20" t="s">
        <v>5</v>
      </c>
      <c r="C33" s="42" t="s">
        <v>7</v>
      </c>
      <c r="D33" s="20" t="s">
        <v>90</v>
      </c>
      <c r="F33" s="59">
        <v>1</v>
      </c>
      <c r="G33" s="60">
        <v>0.5</v>
      </c>
      <c r="H33" s="61">
        <f t="shared" si="0"/>
        <v>0.5</v>
      </c>
      <c r="I33" s="54" t="s">
        <v>217</v>
      </c>
    </row>
    <row r="34" spans="1:19" s="36" customFormat="1" ht="94.5" customHeight="1" x14ac:dyDescent="0.25">
      <c r="A34" s="47">
        <v>31</v>
      </c>
      <c r="B34" s="35" t="s">
        <v>8</v>
      </c>
      <c r="C34" s="35" t="s">
        <v>9</v>
      </c>
      <c r="D34" s="44" t="s">
        <v>91</v>
      </c>
      <c r="F34" s="66">
        <v>1</v>
      </c>
      <c r="G34" s="67">
        <v>0.95</v>
      </c>
      <c r="H34" s="61">
        <f t="shared" si="0"/>
        <v>0.95</v>
      </c>
      <c r="I34" s="57" t="s">
        <v>218</v>
      </c>
      <c r="K34" s="1"/>
      <c r="L34" s="1"/>
      <c r="M34" s="1"/>
      <c r="N34" s="1"/>
      <c r="O34" s="1"/>
      <c r="P34" s="1"/>
      <c r="Q34" s="1"/>
      <c r="R34" s="1"/>
      <c r="S34" s="1"/>
    </row>
    <row r="35" spans="1:19" ht="78.75" x14ac:dyDescent="0.25">
      <c r="A35" s="46">
        <v>32</v>
      </c>
      <c r="B35" s="40" t="s">
        <v>8</v>
      </c>
      <c r="C35" s="40" t="s">
        <v>9</v>
      </c>
      <c r="D35" s="22" t="s">
        <v>92</v>
      </c>
      <c r="F35" s="59">
        <v>1</v>
      </c>
      <c r="G35" s="60">
        <v>1</v>
      </c>
      <c r="H35" s="61">
        <f t="shared" si="0"/>
        <v>1</v>
      </c>
      <c r="I35" s="55" t="s">
        <v>100</v>
      </c>
    </row>
    <row r="36" spans="1:19" ht="47.25" x14ac:dyDescent="0.25">
      <c r="A36" s="46">
        <v>33</v>
      </c>
      <c r="B36" s="40" t="s">
        <v>8</v>
      </c>
      <c r="C36" s="40" t="s">
        <v>9</v>
      </c>
      <c r="D36" s="20" t="s">
        <v>93</v>
      </c>
      <c r="F36" s="59">
        <v>1</v>
      </c>
      <c r="G36" s="60">
        <v>1</v>
      </c>
      <c r="H36" s="61">
        <f t="shared" si="0"/>
        <v>1</v>
      </c>
      <c r="I36" s="54" t="s">
        <v>100</v>
      </c>
    </row>
    <row r="37" spans="1:19" ht="94.5" x14ac:dyDescent="0.25">
      <c r="A37" s="46">
        <v>34</v>
      </c>
      <c r="B37" s="40" t="s">
        <v>8</v>
      </c>
      <c r="C37" s="40" t="s">
        <v>9</v>
      </c>
      <c r="D37" s="20" t="s">
        <v>94</v>
      </c>
      <c r="F37" s="59">
        <v>1</v>
      </c>
      <c r="G37" s="60">
        <v>1</v>
      </c>
      <c r="H37" s="61">
        <f t="shared" si="0"/>
        <v>1</v>
      </c>
      <c r="I37" s="54" t="s">
        <v>100</v>
      </c>
    </row>
    <row r="38" spans="1:19" ht="63" x14ac:dyDescent="0.25">
      <c r="A38" s="46">
        <v>35</v>
      </c>
      <c r="B38" s="40" t="s">
        <v>8</v>
      </c>
      <c r="C38" s="40" t="s">
        <v>9</v>
      </c>
      <c r="D38" s="20" t="s">
        <v>95</v>
      </c>
      <c r="F38" s="59">
        <v>1</v>
      </c>
      <c r="G38" s="60">
        <v>1</v>
      </c>
      <c r="H38" s="61">
        <f t="shared" si="0"/>
        <v>1</v>
      </c>
      <c r="I38" s="54" t="s">
        <v>100</v>
      </c>
    </row>
    <row r="39" spans="1:19" ht="94.5" x14ac:dyDescent="0.25">
      <c r="A39" s="46">
        <v>36</v>
      </c>
      <c r="B39" s="40" t="s">
        <v>8</v>
      </c>
      <c r="C39" s="40" t="s">
        <v>9</v>
      </c>
      <c r="D39" s="20" t="s">
        <v>96</v>
      </c>
      <c r="F39" s="59">
        <v>1</v>
      </c>
      <c r="G39" s="60">
        <v>1</v>
      </c>
      <c r="H39" s="61">
        <f t="shared" si="0"/>
        <v>1</v>
      </c>
      <c r="I39" s="54" t="s">
        <v>100</v>
      </c>
    </row>
    <row r="40" spans="1:19" ht="47.25" x14ac:dyDescent="0.25">
      <c r="A40" s="46">
        <v>37</v>
      </c>
      <c r="B40" s="40" t="s">
        <v>8</v>
      </c>
      <c r="C40" s="40" t="s">
        <v>9</v>
      </c>
      <c r="D40" s="20" t="s">
        <v>97</v>
      </c>
      <c r="F40" s="59">
        <v>1</v>
      </c>
      <c r="G40" s="60">
        <v>1</v>
      </c>
      <c r="H40" s="61">
        <f t="shared" si="0"/>
        <v>1</v>
      </c>
      <c r="I40" s="54" t="s">
        <v>100</v>
      </c>
    </row>
    <row r="41" spans="1:19" s="36" customFormat="1" ht="123" customHeight="1" x14ac:dyDescent="0.25">
      <c r="A41" s="47">
        <v>38</v>
      </c>
      <c r="B41" s="35" t="s">
        <v>8</v>
      </c>
      <c r="C41" s="35" t="s">
        <v>9</v>
      </c>
      <c r="D41" s="35" t="s">
        <v>98</v>
      </c>
      <c r="F41" s="66">
        <v>1</v>
      </c>
      <c r="G41" s="67">
        <v>0.95</v>
      </c>
      <c r="H41" s="61">
        <f t="shared" si="0"/>
        <v>0.95</v>
      </c>
      <c r="I41" s="57" t="s">
        <v>184</v>
      </c>
      <c r="K41" s="1"/>
      <c r="L41" s="1"/>
      <c r="M41" s="1"/>
      <c r="N41" s="1"/>
      <c r="O41" s="1"/>
      <c r="P41" s="1"/>
      <c r="Q41" s="1"/>
      <c r="R41" s="1"/>
      <c r="S41" s="1"/>
    </row>
    <row r="42" spans="1:19" s="36" customFormat="1" ht="192.75" customHeight="1" x14ac:dyDescent="0.25">
      <c r="A42" s="47">
        <v>39</v>
      </c>
      <c r="B42" s="20" t="s">
        <v>10</v>
      </c>
      <c r="C42" s="20" t="s">
        <v>28</v>
      </c>
      <c r="D42" s="35" t="s">
        <v>52</v>
      </c>
      <c r="F42" s="66">
        <v>1</v>
      </c>
      <c r="G42" s="67">
        <v>0.95</v>
      </c>
      <c r="H42" s="61">
        <f t="shared" si="0"/>
        <v>0.95</v>
      </c>
      <c r="I42" s="58" t="s">
        <v>119</v>
      </c>
      <c r="K42" s="1"/>
      <c r="L42" s="1"/>
      <c r="M42" s="1"/>
      <c r="N42" s="1"/>
      <c r="O42" s="1"/>
      <c r="P42" s="1"/>
      <c r="Q42" s="1"/>
      <c r="R42" s="1"/>
      <c r="S42" s="1"/>
    </row>
    <row r="43" spans="1:19" ht="125.25" customHeight="1" x14ac:dyDescent="0.25">
      <c r="A43" s="46">
        <v>40</v>
      </c>
      <c r="B43" s="20" t="s">
        <v>10</v>
      </c>
      <c r="C43" s="20" t="s">
        <v>27</v>
      </c>
      <c r="D43" s="20" t="s">
        <v>53</v>
      </c>
      <c r="F43" s="59">
        <v>1</v>
      </c>
      <c r="G43" s="60">
        <v>0.8</v>
      </c>
      <c r="H43" s="61">
        <f t="shared" si="0"/>
        <v>0.8</v>
      </c>
      <c r="I43" s="55" t="s">
        <v>105</v>
      </c>
    </row>
    <row r="44" spans="1:19" ht="330" x14ac:dyDescent="0.25">
      <c r="A44" s="46">
        <v>41</v>
      </c>
      <c r="B44" s="20" t="s">
        <v>10</v>
      </c>
      <c r="C44" s="20" t="s">
        <v>27</v>
      </c>
      <c r="D44" s="20" t="s">
        <v>99</v>
      </c>
      <c r="F44" s="59">
        <v>1</v>
      </c>
      <c r="G44" s="60">
        <v>0.7</v>
      </c>
      <c r="H44" s="61">
        <f t="shared" si="0"/>
        <v>0.7</v>
      </c>
      <c r="I44" s="54" t="s">
        <v>133</v>
      </c>
    </row>
    <row r="45" spans="1:19" ht="295.5" customHeight="1" x14ac:dyDescent="0.25">
      <c r="A45" s="46">
        <v>42</v>
      </c>
      <c r="B45" s="20" t="s">
        <v>10</v>
      </c>
      <c r="C45" s="20" t="s">
        <v>10</v>
      </c>
      <c r="D45" s="20" t="s">
        <v>54</v>
      </c>
      <c r="F45" s="59">
        <v>1</v>
      </c>
      <c r="G45" s="60">
        <v>0.75</v>
      </c>
      <c r="H45" s="61">
        <f t="shared" si="0"/>
        <v>0.75</v>
      </c>
      <c r="I45" s="55" t="s">
        <v>153</v>
      </c>
    </row>
    <row r="46" spans="1:19" ht="366" customHeight="1" x14ac:dyDescent="0.25">
      <c r="A46" s="46">
        <v>43</v>
      </c>
      <c r="B46" s="20" t="s">
        <v>10</v>
      </c>
      <c r="C46" s="20" t="s">
        <v>29</v>
      </c>
      <c r="D46" s="20" t="s">
        <v>55</v>
      </c>
      <c r="F46" s="59">
        <v>1</v>
      </c>
      <c r="G46" s="60">
        <v>0.75</v>
      </c>
      <c r="H46" s="61">
        <f t="shared" si="0"/>
        <v>0.75</v>
      </c>
      <c r="I46" s="55" t="s">
        <v>114</v>
      </c>
    </row>
    <row r="47" spans="1:19" s="41" customFormat="1" ht="409.5" x14ac:dyDescent="0.25">
      <c r="A47" s="45">
        <v>44</v>
      </c>
      <c r="B47" s="20" t="s">
        <v>10</v>
      </c>
      <c r="C47" s="20" t="s">
        <v>10</v>
      </c>
      <c r="D47" s="35" t="s">
        <v>56</v>
      </c>
      <c r="F47" s="63">
        <v>1</v>
      </c>
      <c r="G47" s="64">
        <v>0.73</v>
      </c>
      <c r="H47" s="61">
        <f t="shared" si="0"/>
        <v>0.73</v>
      </c>
      <c r="I47" s="65" t="s">
        <v>167</v>
      </c>
      <c r="K47" s="1"/>
      <c r="L47" s="1"/>
      <c r="M47" s="1"/>
      <c r="N47" s="1"/>
      <c r="O47" s="1"/>
      <c r="P47" s="1"/>
      <c r="Q47" s="1"/>
      <c r="R47" s="1"/>
      <c r="S47" s="1"/>
    </row>
    <row r="48" spans="1:19" ht="110.25" x14ac:dyDescent="0.25">
      <c r="A48" s="46">
        <v>45</v>
      </c>
      <c r="B48" s="20" t="s">
        <v>10</v>
      </c>
      <c r="C48" s="20" t="s">
        <v>10</v>
      </c>
      <c r="D48" s="20" t="s">
        <v>57</v>
      </c>
      <c r="F48" s="59">
        <v>1</v>
      </c>
      <c r="G48" s="60">
        <v>0.95</v>
      </c>
      <c r="H48" s="61">
        <f t="shared" si="0"/>
        <v>0.95</v>
      </c>
      <c r="I48" s="55" t="s">
        <v>101</v>
      </c>
    </row>
    <row r="49" spans="1:19" ht="195" x14ac:dyDescent="0.25">
      <c r="A49" s="46">
        <v>46</v>
      </c>
      <c r="B49" s="20" t="s">
        <v>10</v>
      </c>
      <c r="C49" s="20" t="s">
        <v>10</v>
      </c>
      <c r="D49" s="20" t="s">
        <v>58</v>
      </c>
      <c r="F49" s="59">
        <v>1</v>
      </c>
      <c r="G49" s="60">
        <v>0.93</v>
      </c>
      <c r="H49" s="61">
        <f t="shared" si="0"/>
        <v>0.93</v>
      </c>
      <c r="I49" s="57" t="s">
        <v>104</v>
      </c>
    </row>
    <row r="50" spans="1:19" s="36" customFormat="1" ht="90.75" customHeight="1" x14ac:dyDescent="0.25">
      <c r="A50" s="47">
        <v>47</v>
      </c>
      <c r="B50" s="35" t="s">
        <v>10</v>
      </c>
      <c r="C50" s="35" t="s">
        <v>10</v>
      </c>
      <c r="D50" s="35" t="s">
        <v>102</v>
      </c>
      <c r="F50" s="66">
        <v>1</v>
      </c>
      <c r="G50" s="67">
        <v>0.95</v>
      </c>
      <c r="H50" s="61">
        <f t="shared" si="0"/>
        <v>0.95</v>
      </c>
      <c r="I50" s="58" t="s">
        <v>151</v>
      </c>
      <c r="K50" s="1"/>
      <c r="L50" s="1"/>
      <c r="M50" s="1"/>
      <c r="N50" s="1"/>
      <c r="O50" s="1"/>
      <c r="P50" s="1"/>
      <c r="Q50" s="1"/>
      <c r="R50" s="1"/>
      <c r="S50" s="1"/>
    </row>
    <row r="51" spans="1:19" ht="142.5" customHeight="1" x14ac:dyDescent="0.25">
      <c r="A51" s="46">
        <v>48</v>
      </c>
      <c r="B51" s="20" t="s">
        <v>10</v>
      </c>
      <c r="C51" s="20" t="s">
        <v>10</v>
      </c>
      <c r="D51" s="20" t="s">
        <v>60</v>
      </c>
      <c r="F51" s="59">
        <v>1</v>
      </c>
      <c r="G51" s="60">
        <v>0.75</v>
      </c>
      <c r="H51" s="61">
        <f t="shared" si="0"/>
        <v>0.75</v>
      </c>
      <c r="I51" s="55" t="s">
        <v>141</v>
      </c>
    </row>
    <row r="52" spans="1:19" x14ac:dyDescent="0.25">
      <c r="H52" s="52"/>
    </row>
  </sheetData>
  <mergeCells count="2">
    <mergeCell ref="B2:D2"/>
    <mergeCell ref="F2:I2"/>
  </mergeCells>
  <pageMargins left="0.511811024" right="0.511811024" top="0.78740157499999996" bottom="0.78740157499999996" header="0.31496062000000002" footer="0.31496062000000002"/>
  <pageSetup paperSize="9" orientation="portrait" horizontalDpi="200" verticalDpi="20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2"/>
  <sheetViews>
    <sheetView zoomScaleNormal="100" workbookViewId="0">
      <pane xSplit="4" ySplit="3" topLeftCell="E50" activePane="bottomRight" state="frozen"/>
      <selection pane="topRight" activeCell="E1" sqref="E1"/>
      <selection pane="bottomLeft" activeCell="A4" sqref="A4"/>
      <selection pane="bottomRight" activeCell="H52" sqref="H52"/>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3" width="9.140625" style="1"/>
    <col min="14" max="14" width="8.42578125" style="1" customWidth="1"/>
    <col min="15"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94.5" x14ac:dyDescent="0.25">
      <c r="A4" s="45">
        <v>1</v>
      </c>
      <c r="B4" s="40" t="s">
        <v>3</v>
      </c>
      <c r="C4" s="40" t="s">
        <v>4</v>
      </c>
      <c r="D4" s="40" t="s">
        <v>61</v>
      </c>
      <c r="F4" s="63">
        <v>1</v>
      </c>
      <c r="G4" s="64">
        <v>0.97</v>
      </c>
      <c r="H4" s="61">
        <f>F4*G4</f>
        <v>0.97</v>
      </c>
      <c r="I4" s="65" t="s">
        <v>337</v>
      </c>
    </row>
    <row r="5" spans="1:9" ht="409.5" x14ac:dyDescent="0.25">
      <c r="A5" s="46">
        <v>2</v>
      </c>
      <c r="B5" s="20" t="s">
        <v>3</v>
      </c>
      <c r="C5" s="20" t="s">
        <v>4</v>
      </c>
      <c r="D5" s="20" t="s">
        <v>62</v>
      </c>
      <c r="F5" s="59">
        <v>1</v>
      </c>
      <c r="G5" s="60">
        <v>0.82</v>
      </c>
      <c r="H5" s="61">
        <f t="shared" ref="H5:H51" si="0">F5*G5</f>
        <v>0.82</v>
      </c>
      <c r="I5" s="54" t="s">
        <v>389</v>
      </c>
    </row>
    <row r="6" spans="1:9" ht="409.5" x14ac:dyDescent="0.25">
      <c r="A6" s="46">
        <v>3</v>
      </c>
      <c r="B6" s="20" t="s">
        <v>3</v>
      </c>
      <c r="C6" s="20" t="s">
        <v>4</v>
      </c>
      <c r="D6" s="20" t="s">
        <v>63</v>
      </c>
      <c r="F6" s="63">
        <v>1</v>
      </c>
      <c r="G6" s="64">
        <v>0.83</v>
      </c>
      <c r="H6" s="61">
        <f t="shared" si="0"/>
        <v>0.83</v>
      </c>
      <c r="I6" s="54" t="s">
        <v>401</v>
      </c>
    </row>
    <row r="7" spans="1:9" ht="409.5" x14ac:dyDescent="0.25">
      <c r="A7" s="46">
        <v>4</v>
      </c>
      <c r="B7" s="20" t="s">
        <v>3</v>
      </c>
      <c r="C7" s="20" t="s">
        <v>4</v>
      </c>
      <c r="D7" s="20" t="s">
        <v>64</v>
      </c>
      <c r="F7" s="63">
        <v>1</v>
      </c>
      <c r="G7" s="64">
        <v>0.88</v>
      </c>
      <c r="H7" s="61">
        <f t="shared" si="0"/>
        <v>0.88</v>
      </c>
      <c r="I7" s="54" t="s">
        <v>402</v>
      </c>
    </row>
    <row r="8" spans="1:9" ht="409.5" x14ac:dyDescent="0.25">
      <c r="A8" s="46">
        <v>5</v>
      </c>
      <c r="B8" s="20" t="s">
        <v>3</v>
      </c>
      <c r="C8" s="20" t="s">
        <v>4</v>
      </c>
      <c r="D8" s="20" t="s">
        <v>65</v>
      </c>
      <c r="F8" s="63">
        <v>1</v>
      </c>
      <c r="G8" s="64">
        <v>0.71</v>
      </c>
      <c r="H8" s="61">
        <f t="shared" si="0"/>
        <v>0.71</v>
      </c>
      <c r="I8" s="54" t="s">
        <v>403</v>
      </c>
    </row>
    <row r="9" spans="1:9" s="36" customFormat="1" ht="409.5" x14ac:dyDescent="0.25">
      <c r="A9" s="47">
        <v>6</v>
      </c>
      <c r="B9" s="35" t="s">
        <v>3</v>
      </c>
      <c r="C9" s="35" t="s">
        <v>4</v>
      </c>
      <c r="D9" s="35" t="s">
        <v>66</v>
      </c>
      <c r="F9" s="63">
        <v>1</v>
      </c>
      <c r="G9" s="64">
        <v>0.7</v>
      </c>
      <c r="H9" s="61">
        <f t="shared" si="0"/>
        <v>0.7</v>
      </c>
      <c r="I9" s="58" t="s">
        <v>404</v>
      </c>
    </row>
    <row r="10" spans="1:9" ht="135" x14ac:dyDescent="0.25">
      <c r="A10" s="46">
        <v>7</v>
      </c>
      <c r="B10" s="20" t="s">
        <v>3</v>
      </c>
      <c r="C10" s="20" t="s">
        <v>4</v>
      </c>
      <c r="D10" s="20" t="s">
        <v>67</v>
      </c>
      <c r="F10" s="63">
        <v>1</v>
      </c>
      <c r="G10" s="64">
        <v>0.82</v>
      </c>
      <c r="H10" s="61">
        <f t="shared" si="0"/>
        <v>0.82</v>
      </c>
      <c r="I10" s="54" t="s">
        <v>405</v>
      </c>
    </row>
    <row r="11" spans="1:9" ht="315" x14ac:dyDescent="0.25">
      <c r="A11" s="46">
        <v>8</v>
      </c>
      <c r="B11" s="20" t="s">
        <v>3</v>
      </c>
      <c r="C11" s="20" t="s">
        <v>4</v>
      </c>
      <c r="D11" s="20" t="s">
        <v>68</v>
      </c>
      <c r="F11" s="63">
        <v>1</v>
      </c>
      <c r="G11" s="64">
        <v>0.9</v>
      </c>
      <c r="H11" s="61">
        <f t="shared" si="0"/>
        <v>0.9</v>
      </c>
      <c r="I11" s="55" t="s">
        <v>344</v>
      </c>
    </row>
    <row r="12" spans="1:9" ht="135" x14ac:dyDescent="0.25">
      <c r="A12" s="46">
        <v>9</v>
      </c>
      <c r="B12" s="20" t="s">
        <v>3</v>
      </c>
      <c r="C12" s="20" t="s">
        <v>4</v>
      </c>
      <c r="D12" s="20" t="s">
        <v>69</v>
      </c>
      <c r="F12" s="63">
        <v>1</v>
      </c>
      <c r="G12" s="64">
        <v>0.84</v>
      </c>
      <c r="H12" s="61">
        <f t="shared" si="0"/>
        <v>0.84</v>
      </c>
      <c r="I12" s="54" t="s">
        <v>345</v>
      </c>
    </row>
    <row r="13" spans="1:9" s="36" customFormat="1" ht="126" x14ac:dyDescent="0.25">
      <c r="A13" s="47">
        <v>10</v>
      </c>
      <c r="B13" s="35" t="s">
        <v>3</v>
      </c>
      <c r="C13" s="20" t="s">
        <v>4</v>
      </c>
      <c r="D13" s="35" t="s">
        <v>70</v>
      </c>
      <c r="F13" s="63">
        <v>1</v>
      </c>
      <c r="G13" s="64">
        <v>0.95</v>
      </c>
      <c r="H13" s="61">
        <f t="shared" si="0"/>
        <v>0.95</v>
      </c>
      <c r="I13" s="57" t="s">
        <v>406</v>
      </c>
    </row>
    <row r="14" spans="1:9" ht="405" x14ac:dyDescent="0.25">
      <c r="A14" s="46">
        <v>11</v>
      </c>
      <c r="B14" s="20" t="s">
        <v>25</v>
      </c>
      <c r="C14" s="20" t="s">
        <v>26</v>
      </c>
      <c r="D14" s="20" t="s">
        <v>71</v>
      </c>
      <c r="F14" s="63">
        <v>1</v>
      </c>
      <c r="G14" s="64">
        <v>0.89</v>
      </c>
      <c r="H14" s="61">
        <f t="shared" si="0"/>
        <v>0.89</v>
      </c>
      <c r="I14" s="54" t="s">
        <v>243</v>
      </c>
    </row>
    <row r="15" spans="1:9" ht="409.5" x14ac:dyDescent="0.25">
      <c r="A15" s="46">
        <v>12</v>
      </c>
      <c r="B15" s="20" t="s">
        <v>25</v>
      </c>
      <c r="C15" s="20" t="s">
        <v>26</v>
      </c>
      <c r="D15" s="20" t="s">
        <v>72</v>
      </c>
      <c r="F15" s="63">
        <v>1</v>
      </c>
      <c r="G15" s="64">
        <v>0.65</v>
      </c>
      <c r="H15" s="61">
        <f t="shared" si="0"/>
        <v>0.65</v>
      </c>
      <c r="I15" s="54" t="s">
        <v>244</v>
      </c>
    </row>
    <row r="16" spans="1:9" s="36" customFormat="1" ht="94.5" x14ac:dyDescent="0.25">
      <c r="A16" s="47">
        <v>13</v>
      </c>
      <c r="B16" s="35" t="s">
        <v>25</v>
      </c>
      <c r="C16" s="35" t="s">
        <v>26</v>
      </c>
      <c r="D16" s="35" t="s">
        <v>73</v>
      </c>
      <c r="F16" s="63">
        <v>1</v>
      </c>
      <c r="G16" s="64">
        <v>0.96</v>
      </c>
      <c r="H16" s="61">
        <f t="shared" si="0"/>
        <v>0.96</v>
      </c>
      <c r="I16" s="57" t="s">
        <v>241</v>
      </c>
    </row>
    <row r="17" spans="1:10" ht="63" x14ac:dyDescent="0.25">
      <c r="A17" s="46">
        <v>14</v>
      </c>
      <c r="B17" s="20" t="s">
        <v>25</v>
      </c>
      <c r="C17" s="20" t="s">
        <v>26</v>
      </c>
      <c r="D17" s="20" t="s">
        <v>74</v>
      </c>
      <c r="F17" s="63">
        <v>1</v>
      </c>
      <c r="G17" s="64">
        <v>1</v>
      </c>
      <c r="H17" s="61">
        <f t="shared" si="0"/>
        <v>1</v>
      </c>
      <c r="I17" s="54" t="s">
        <v>100</v>
      </c>
    </row>
    <row r="18" spans="1:10" ht="110.25" x14ac:dyDescent="0.25">
      <c r="A18" s="46">
        <v>15</v>
      </c>
      <c r="B18" s="20" t="s">
        <v>25</v>
      </c>
      <c r="C18" s="20" t="s">
        <v>26</v>
      </c>
      <c r="D18" s="20" t="s">
        <v>75</v>
      </c>
      <c r="F18" s="63">
        <v>1</v>
      </c>
      <c r="G18" s="64">
        <v>1</v>
      </c>
      <c r="H18" s="61">
        <f t="shared" si="0"/>
        <v>1</v>
      </c>
      <c r="I18" s="54" t="s">
        <v>100</v>
      </c>
    </row>
    <row r="19" spans="1:10" ht="47.25" x14ac:dyDescent="0.25">
      <c r="A19" s="46">
        <v>16</v>
      </c>
      <c r="B19" s="20" t="s">
        <v>5</v>
      </c>
      <c r="C19" s="40" t="s">
        <v>6</v>
      </c>
      <c r="D19" s="20" t="s">
        <v>76</v>
      </c>
      <c r="F19" s="63">
        <v>1</v>
      </c>
      <c r="G19" s="64">
        <v>1</v>
      </c>
      <c r="H19" s="61">
        <f t="shared" si="0"/>
        <v>1</v>
      </c>
      <c r="I19" s="54" t="s">
        <v>100</v>
      </c>
    </row>
    <row r="20" spans="1:10" ht="120" x14ac:dyDescent="0.25">
      <c r="A20" s="46">
        <v>17</v>
      </c>
      <c r="B20" s="20" t="s">
        <v>5</v>
      </c>
      <c r="C20" s="40" t="s">
        <v>6</v>
      </c>
      <c r="D20" s="20" t="s">
        <v>77</v>
      </c>
      <c r="F20" s="63">
        <v>1</v>
      </c>
      <c r="G20" s="64">
        <v>0.8</v>
      </c>
      <c r="H20" s="61">
        <f t="shared" si="0"/>
        <v>0.8</v>
      </c>
      <c r="I20" s="54" t="s">
        <v>245</v>
      </c>
    </row>
    <row r="21" spans="1:10" s="36" customFormat="1" ht="409.5" x14ac:dyDescent="0.25">
      <c r="A21" s="47">
        <v>18</v>
      </c>
      <c r="B21" s="35" t="s">
        <v>5</v>
      </c>
      <c r="C21" s="40" t="s">
        <v>6</v>
      </c>
      <c r="D21" s="35" t="s">
        <v>78</v>
      </c>
      <c r="F21" s="63">
        <v>1</v>
      </c>
      <c r="G21" s="64">
        <v>0.79</v>
      </c>
      <c r="H21" s="61">
        <f t="shared" si="0"/>
        <v>0.79</v>
      </c>
      <c r="I21" s="57" t="s">
        <v>246</v>
      </c>
    </row>
    <row r="22" spans="1:10" ht="141.75" x14ac:dyDescent="0.25">
      <c r="A22" s="46">
        <v>19</v>
      </c>
      <c r="B22" s="20" t="s">
        <v>5</v>
      </c>
      <c r="C22" s="40" t="s">
        <v>6</v>
      </c>
      <c r="D22" s="20" t="s">
        <v>79</v>
      </c>
      <c r="F22" s="63">
        <v>1</v>
      </c>
      <c r="G22" s="64">
        <v>0.93</v>
      </c>
      <c r="H22" s="61">
        <f t="shared" si="0"/>
        <v>0.93</v>
      </c>
      <c r="I22" s="54" t="s">
        <v>247</v>
      </c>
    </row>
    <row r="23" spans="1:10" ht="78.75" x14ac:dyDescent="0.25">
      <c r="A23" s="46">
        <v>20</v>
      </c>
      <c r="B23" s="20" t="s">
        <v>5</v>
      </c>
      <c r="C23" s="40" t="s">
        <v>6</v>
      </c>
      <c r="D23" s="20" t="s">
        <v>80</v>
      </c>
      <c r="F23" s="63">
        <v>1</v>
      </c>
      <c r="G23" s="64">
        <v>1</v>
      </c>
      <c r="H23" s="61">
        <f t="shared" si="0"/>
        <v>1</v>
      </c>
      <c r="I23" s="57" t="s">
        <v>100</v>
      </c>
    </row>
    <row r="24" spans="1:10" ht="141.75" x14ac:dyDescent="0.25">
      <c r="A24" s="46">
        <v>21</v>
      </c>
      <c r="B24" s="20" t="s">
        <v>5</v>
      </c>
      <c r="C24" s="40" t="s">
        <v>6</v>
      </c>
      <c r="D24" s="20" t="s">
        <v>81</v>
      </c>
      <c r="F24" s="63">
        <v>1</v>
      </c>
      <c r="G24" s="64">
        <v>1</v>
      </c>
      <c r="H24" s="61">
        <f t="shared" si="0"/>
        <v>1</v>
      </c>
      <c r="I24" s="54" t="s">
        <v>100</v>
      </c>
      <c r="J24" s="1" t="s">
        <v>24</v>
      </c>
    </row>
    <row r="25" spans="1:10" s="34" customFormat="1" ht="150" customHeight="1" x14ac:dyDescent="0.25">
      <c r="A25" s="47">
        <v>22</v>
      </c>
      <c r="B25" s="35" t="s">
        <v>5</v>
      </c>
      <c r="C25" s="35" t="s">
        <v>6</v>
      </c>
      <c r="D25" s="35" t="s">
        <v>82</v>
      </c>
      <c r="F25" s="63">
        <v>1</v>
      </c>
      <c r="G25" s="64">
        <v>0.9</v>
      </c>
      <c r="H25" s="61">
        <f t="shared" si="0"/>
        <v>0.9</v>
      </c>
      <c r="I25" s="58" t="s">
        <v>242</v>
      </c>
    </row>
    <row r="26" spans="1:10" ht="173.25" x14ac:dyDescent="0.25">
      <c r="A26" s="46">
        <v>23</v>
      </c>
      <c r="B26" s="20" t="s">
        <v>5</v>
      </c>
      <c r="C26" s="20" t="s">
        <v>6</v>
      </c>
      <c r="D26" s="20" t="s">
        <v>83</v>
      </c>
      <c r="F26" s="63">
        <v>1</v>
      </c>
      <c r="G26" s="64">
        <v>1</v>
      </c>
      <c r="H26" s="61">
        <f t="shared" si="0"/>
        <v>1</v>
      </c>
      <c r="I26" s="54" t="s">
        <v>100</v>
      </c>
    </row>
    <row r="27" spans="1:10" ht="75" x14ac:dyDescent="0.25">
      <c r="A27" s="46">
        <v>24</v>
      </c>
      <c r="B27" s="20" t="s">
        <v>5</v>
      </c>
      <c r="C27" s="20" t="s">
        <v>6</v>
      </c>
      <c r="D27" s="20" t="s">
        <v>84</v>
      </c>
      <c r="F27" s="63">
        <v>1</v>
      </c>
      <c r="G27" s="64">
        <v>0.85</v>
      </c>
      <c r="H27" s="61">
        <f t="shared" si="0"/>
        <v>0.85</v>
      </c>
      <c r="I27" s="54" t="s">
        <v>248</v>
      </c>
    </row>
    <row r="28" spans="1:10" ht="240" x14ac:dyDescent="0.25">
      <c r="A28" s="46">
        <v>25</v>
      </c>
      <c r="B28" s="20" t="s">
        <v>5</v>
      </c>
      <c r="C28" s="20" t="s">
        <v>6</v>
      </c>
      <c r="D28" s="20" t="s">
        <v>85</v>
      </c>
      <c r="F28" s="63">
        <v>1</v>
      </c>
      <c r="G28" s="64">
        <v>0.8</v>
      </c>
      <c r="H28" s="61">
        <f t="shared" si="0"/>
        <v>0.8</v>
      </c>
      <c r="I28" s="54" t="s">
        <v>249</v>
      </c>
    </row>
    <row r="29" spans="1:10" ht="63" x14ac:dyDescent="0.25">
      <c r="A29" s="46">
        <v>26</v>
      </c>
      <c r="B29" s="20" t="s">
        <v>5</v>
      </c>
      <c r="C29" s="20" t="s">
        <v>6</v>
      </c>
      <c r="D29" s="20" t="s">
        <v>86</v>
      </c>
      <c r="F29" s="63">
        <v>1</v>
      </c>
      <c r="G29" s="64">
        <v>1</v>
      </c>
      <c r="H29" s="61">
        <f t="shared" si="0"/>
        <v>1</v>
      </c>
      <c r="I29" s="54" t="s">
        <v>100</v>
      </c>
    </row>
    <row r="30" spans="1:10" ht="135" x14ac:dyDescent="0.25">
      <c r="A30" s="46">
        <v>27</v>
      </c>
      <c r="B30" s="20" t="s">
        <v>5</v>
      </c>
      <c r="C30" s="42" t="s">
        <v>7</v>
      </c>
      <c r="D30" s="20" t="s">
        <v>87</v>
      </c>
      <c r="F30" s="63">
        <v>1</v>
      </c>
      <c r="G30" s="64">
        <v>0.9</v>
      </c>
      <c r="H30" s="61">
        <f t="shared" si="0"/>
        <v>0.9</v>
      </c>
      <c r="I30" s="54" t="s">
        <v>215</v>
      </c>
    </row>
    <row r="31" spans="1:10" ht="120" x14ac:dyDescent="0.25">
      <c r="A31" s="46">
        <v>28</v>
      </c>
      <c r="B31" s="20" t="s">
        <v>5</v>
      </c>
      <c r="C31" s="42" t="s">
        <v>7</v>
      </c>
      <c r="D31" s="20" t="s">
        <v>88</v>
      </c>
      <c r="F31" s="63">
        <v>1</v>
      </c>
      <c r="G31" s="64">
        <v>0.88</v>
      </c>
      <c r="H31" s="61">
        <f t="shared" si="0"/>
        <v>0.88</v>
      </c>
      <c r="I31" s="54" t="s">
        <v>250</v>
      </c>
    </row>
    <row r="32" spans="1:10" ht="47.25" x14ac:dyDescent="0.25">
      <c r="A32" s="46">
        <v>29</v>
      </c>
      <c r="B32" s="20" t="s">
        <v>5</v>
      </c>
      <c r="C32" s="42" t="s">
        <v>7</v>
      </c>
      <c r="D32" s="20" t="s">
        <v>89</v>
      </c>
      <c r="F32" s="59">
        <v>1</v>
      </c>
      <c r="G32" s="60">
        <v>1</v>
      </c>
      <c r="H32" s="61">
        <f t="shared" si="0"/>
        <v>1</v>
      </c>
      <c r="I32" s="54" t="s">
        <v>100</v>
      </c>
    </row>
    <row r="33" spans="1:15" ht="110.25" x14ac:dyDescent="0.25">
      <c r="A33" s="46">
        <v>30</v>
      </c>
      <c r="B33" s="20" t="s">
        <v>5</v>
      </c>
      <c r="C33" s="42" t="s">
        <v>7</v>
      </c>
      <c r="D33" s="20" t="s">
        <v>90</v>
      </c>
      <c r="F33" s="59">
        <v>1</v>
      </c>
      <c r="G33" s="60">
        <v>1</v>
      </c>
      <c r="H33" s="61">
        <f t="shared" si="0"/>
        <v>1</v>
      </c>
      <c r="I33" s="54" t="s">
        <v>100</v>
      </c>
    </row>
    <row r="34" spans="1:15" s="36" customFormat="1" ht="94.5" customHeight="1" x14ac:dyDescent="0.25">
      <c r="A34" s="47">
        <v>31</v>
      </c>
      <c r="B34" s="35" t="s">
        <v>8</v>
      </c>
      <c r="C34" s="35" t="s">
        <v>9</v>
      </c>
      <c r="D34" s="44" t="s">
        <v>91</v>
      </c>
      <c r="F34" s="66">
        <v>1</v>
      </c>
      <c r="G34" s="67">
        <v>1</v>
      </c>
      <c r="H34" s="61">
        <f t="shared" si="0"/>
        <v>1</v>
      </c>
      <c r="I34" s="57" t="s">
        <v>100</v>
      </c>
    </row>
    <row r="35" spans="1:15" ht="78.75" x14ac:dyDescent="0.25">
      <c r="A35" s="46">
        <v>32</v>
      </c>
      <c r="B35" s="40" t="s">
        <v>8</v>
      </c>
      <c r="C35" s="40" t="s">
        <v>9</v>
      </c>
      <c r="D35" s="22" t="s">
        <v>92</v>
      </c>
      <c r="F35" s="59">
        <v>1</v>
      </c>
      <c r="G35" s="60">
        <v>1</v>
      </c>
      <c r="H35" s="61">
        <f t="shared" si="0"/>
        <v>1</v>
      </c>
      <c r="I35" s="55" t="s">
        <v>100</v>
      </c>
    </row>
    <row r="36" spans="1:15" ht="75" x14ac:dyDescent="0.25">
      <c r="A36" s="46">
        <v>33</v>
      </c>
      <c r="B36" s="40" t="s">
        <v>8</v>
      </c>
      <c r="C36" s="40" t="s">
        <v>9</v>
      </c>
      <c r="D36" s="20" t="s">
        <v>93</v>
      </c>
      <c r="F36" s="59">
        <v>1</v>
      </c>
      <c r="G36" s="60">
        <v>0.95</v>
      </c>
      <c r="H36" s="61">
        <f t="shared" si="0"/>
        <v>0.95</v>
      </c>
      <c r="I36" s="54" t="s">
        <v>251</v>
      </c>
    </row>
    <row r="37" spans="1:15" ht="94.5" x14ac:dyDescent="0.25">
      <c r="A37" s="46">
        <v>34</v>
      </c>
      <c r="B37" s="40" t="s">
        <v>8</v>
      </c>
      <c r="C37" s="40" t="s">
        <v>9</v>
      </c>
      <c r="D37" s="20" t="s">
        <v>94</v>
      </c>
      <c r="F37" s="59">
        <v>1</v>
      </c>
      <c r="G37" s="60">
        <v>1</v>
      </c>
      <c r="H37" s="61">
        <f t="shared" si="0"/>
        <v>1</v>
      </c>
      <c r="I37" s="54" t="s">
        <v>100</v>
      </c>
    </row>
    <row r="38" spans="1:15" ht="63" x14ac:dyDescent="0.25">
      <c r="A38" s="46">
        <v>35</v>
      </c>
      <c r="B38" s="40" t="s">
        <v>8</v>
      </c>
      <c r="C38" s="40" t="s">
        <v>9</v>
      </c>
      <c r="D38" s="20" t="s">
        <v>95</v>
      </c>
      <c r="F38" s="59">
        <v>1</v>
      </c>
      <c r="G38" s="60">
        <v>1</v>
      </c>
      <c r="H38" s="61">
        <f t="shared" si="0"/>
        <v>1</v>
      </c>
      <c r="I38" s="54" t="s">
        <v>100</v>
      </c>
    </row>
    <row r="39" spans="1:15" ht="94.5" x14ac:dyDescent="0.25">
      <c r="A39" s="46">
        <v>36</v>
      </c>
      <c r="B39" s="40" t="s">
        <v>8</v>
      </c>
      <c r="C39" s="40" t="s">
        <v>9</v>
      </c>
      <c r="D39" s="20" t="s">
        <v>96</v>
      </c>
      <c r="F39" s="59">
        <v>1</v>
      </c>
      <c r="G39" s="60">
        <v>1</v>
      </c>
      <c r="H39" s="61">
        <f t="shared" si="0"/>
        <v>1</v>
      </c>
      <c r="I39" s="54" t="s">
        <v>100</v>
      </c>
    </row>
    <row r="40" spans="1:15" ht="47.25" x14ac:dyDescent="0.25">
      <c r="A40" s="46">
        <v>37</v>
      </c>
      <c r="B40" s="40" t="s">
        <v>8</v>
      </c>
      <c r="C40" s="40" t="s">
        <v>9</v>
      </c>
      <c r="D40" s="20" t="s">
        <v>97</v>
      </c>
      <c r="F40" s="59">
        <v>1</v>
      </c>
      <c r="G40" s="60">
        <v>1</v>
      </c>
      <c r="H40" s="61">
        <f t="shared" si="0"/>
        <v>1</v>
      </c>
      <c r="I40" s="54" t="s">
        <v>100</v>
      </c>
    </row>
    <row r="41" spans="1:15" s="36" customFormat="1" ht="123" customHeight="1" x14ac:dyDescent="0.25">
      <c r="A41" s="47">
        <v>38</v>
      </c>
      <c r="B41" s="35" t="s">
        <v>8</v>
      </c>
      <c r="C41" s="35" t="s">
        <v>9</v>
      </c>
      <c r="D41" s="35" t="s">
        <v>98</v>
      </c>
      <c r="F41" s="66">
        <v>1</v>
      </c>
      <c r="G41" s="67">
        <v>0.95</v>
      </c>
      <c r="H41" s="61">
        <f t="shared" si="0"/>
        <v>0.95</v>
      </c>
      <c r="I41" s="57" t="s">
        <v>183</v>
      </c>
    </row>
    <row r="42" spans="1:15" s="36" customFormat="1" ht="192.75" customHeight="1" x14ac:dyDescent="0.25">
      <c r="A42" s="47">
        <v>39</v>
      </c>
      <c r="B42" s="20" t="s">
        <v>10</v>
      </c>
      <c r="C42" s="20" t="s">
        <v>28</v>
      </c>
      <c r="D42" s="35" t="s">
        <v>52</v>
      </c>
      <c r="F42" s="66">
        <v>1</v>
      </c>
      <c r="G42" s="67">
        <v>1</v>
      </c>
      <c r="H42" s="61">
        <f t="shared" si="0"/>
        <v>1</v>
      </c>
      <c r="I42" s="58" t="s">
        <v>100</v>
      </c>
    </row>
    <row r="43" spans="1:15" ht="150" x14ac:dyDescent="0.25">
      <c r="A43" s="46">
        <v>40</v>
      </c>
      <c r="B43" s="20" t="s">
        <v>10</v>
      </c>
      <c r="C43" s="20" t="s">
        <v>27</v>
      </c>
      <c r="D43" s="20" t="s">
        <v>53</v>
      </c>
      <c r="F43" s="59">
        <v>1</v>
      </c>
      <c r="G43" s="60">
        <v>0.85</v>
      </c>
      <c r="H43" s="61">
        <f t="shared" si="0"/>
        <v>0.85</v>
      </c>
      <c r="I43" s="54" t="s">
        <v>103</v>
      </c>
    </row>
    <row r="44" spans="1:15" ht="210" x14ac:dyDescent="0.25">
      <c r="A44" s="46">
        <v>41</v>
      </c>
      <c r="B44" s="20" t="s">
        <v>10</v>
      </c>
      <c r="C44" s="20" t="s">
        <v>27</v>
      </c>
      <c r="D44" s="20" t="s">
        <v>99</v>
      </c>
      <c r="F44" s="59">
        <v>1</v>
      </c>
      <c r="G44" s="60">
        <v>0.8</v>
      </c>
      <c r="H44" s="61">
        <f t="shared" si="0"/>
        <v>0.8</v>
      </c>
      <c r="I44" s="55" t="s">
        <v>134</v>
      </c>
    </row>
    <row r="45" spans="1:15" ht="126.75" customHeight="1" x14ac:dyDescent="0.25">
      <c r="A45" s="46">
        <v>42</v>
      </c>
      <c r="B45" s="20" t="s">
        <v>10</v>
      </c>
      <c r="C45" s="20" t="s">
        <v>10</v>
      </c>
      <c r="D45" s="20" t="s">
        <v>54</v>
      </c>
      <c r="F45" s="59">
        <v>1</v>
      </c>
      <c r="G45" s="60">
        <v>0.85</v>
      </c>
      <c r="H45" s="61">
        <f t="shared" si="0"/>
        <v>0.85</v>
      </c>
      <c r="I45" s="55" t="s">
        <v>154</v>
      </c>
    </row>
    <row r="46" spans="1:15" ht="240.75" customHeight="1" x14ac:dyDescent="0.25">
      <c r="A46" s="46">
        <v>43</v>
      </c>
      <c r="B46" s="20" t="s">
        <v>10</v>
      </c>
      <c r="C46" s="20" t="s">
        <v>29</v>
      </c>
      <c r="D46" s="20" t="s">
        <v>55</v>
      </c>
      <c r="F46" s="59">
        <v>1</v>
      </c>
      <c r="G46" s="60">
        <v>0.85</v>
      </c>
      <c r="H46" s="61">
        <f t="shared" si="0"/>
        <v>0.85</v>
      </c>
      <c r="I46" s="55" t="s">
        <v>120</v>
      </c>
    </row>
    <row r="47" spans="1:15" s="41" customFormat="1" ht="360" x14ac:dyDescent="0.25">
      <c r="A47" s="45">
        <v>44</v>
      </c>
      <c r="B47" s="20" t="s">
        <v>10</v>
      </c>
      <c r="C47" s="20" t="s">
        <v>10</v>
      </c>
      <c r="D47" s="35" t="s">
        <v>56</v>
      </c>
      <c r="F47" s="63">
        <v>1</v>
      </c>
      <c r="G47" s="64">
        <v>0.8</v>
      </c>
      <c r="H47" s="61">
        <f t="shared" si="0"/>
        <v>0.8</v>
      </c>
      <c r="I47" s="56" t="s">
        <v>168</v>
      </c>
      <c r="K47" s="1"/>
      <c r="L47" s="1"/>
      <c r="M47" s="1"/>
      <c r="N47" s="1"/>
      <c r="O47" s="1"/>
    </row>
    <row r="48" spans="1:15" ht="110.25" x14ac:dyDescent="0.25">
      <c r="A48" s="46">
        <v>45</v>
      </c>
      <c r="B48" s="20" t="s">
        <v>10</v>
      </c>
      <c r="C48" s="20" t="s">
        <v>10</v>
      </c>
      <c r="D48" s="20" t="s">
        <v>57</v>
      </c>
      <c r="F48" s="59">
        <v>1</v>
      </c>
      <c r="G48" s="60">
        <v>0.95</v>
      </c>
      <c r="H48" s="61">
        <f t="shared" si="0"/>
        <v>0.95</v>
      </c>
      <c r="I48" s="55" t="s">
        <v>101</v>
      </c>
    </row>
    <row r="49" spans="1:9" ht="195" x14ac:dyDescent="0.25">
      <c r="A49" s="46">
        <v>46</v>
      </c>
      <c r="B49" s="20" t="s">
        <v>10</v>
      </c>
      <c r="C49" s="20" t="s">
        <v>10</v>
      </c>
      <c r="D49" s="20" t="s">
        <v>58</v>
      </c>
      <c r="F49" s="59">
        <v>1</v>
      </c>
      <c r="G49" s="60">
        <v>0.93</v>
      </c>
      <c r="H49" s="61">
        <f t="shared" si="0"/>
        <v>0.93</v>
      </c>
      <c r="I49" s="57" t="s">
        <v>104</v>
      </c>
    </row>
    <row r="50" spans="1:9" s="36" customFormat="1" ht="90.75" customHeight="1" x14ac:dyDescent="0.25">
      <c r="A50" s="47">
        <v>47</v>
      </c>
      <c r="B50" s="35" t="s">
        <v>10</v>
      </c>
      <c r="C50" s="35" t="s">
        <v>10</v>
      </c>
      <c r="D50" s="35" t="s">
        <v>59</v>
      </c>
      <c r="F50" s="66">
        <v>1</v>
      </c>
      <c r="G50" s="67">
        <v>0.95</v>
      </c>
      <c r="H50" s="61">
        <f t="shared" si="0"/>
        <v>0.95</v>
      </c>
      <c r="I50" s="58" t="s">
        <v>151</v>
      </c>
    </row>
    <row r="51" spans="1:9" ht="142.5" customHeight="1" x14ac:dyDescent="0.25">
      <c r="A51" s="46">
        <v>48</v>
      </c>
      <c r="B51" s="20" t="s">
        <v>10</v>
      </c>
      <c r="C51" s="20" t="s">
        <v>10</v>
      </c>
      <c r="D51" s="20" t="s">
        <v>60</v>
      </c>
      <c r="F51" s="59">
        <v>1</v>
      </c>
      <c r="G51" s="60">
        <v>0.85</v>
      </c>
      <c r="H51" s="61">
        <f t="shared" si="0"/>
        <v>0.85</v>
      </c>
      <c r="I51" s="55" t="s">
        <v>143</v>
      </c>
    </row>
    <row r="52" spans="1:9" x14ac:dyDescent="0.25">
      <c r="H52" s="52"/>
    </row>
  </sheetData>
  <mergeCells count="2">
    <mergeCell ref="B2:D2"/>
    <mergeCell ref="F2:I2"/>
  </mergeCells>
  <pageMargins left="0.511811024" right="0.511811024" top="0.78740157499999996" bottom="0.78740157499999996" header="0.31496062000000002" footer="0.31496062000000002"/>
  <pageSetup paperSize="9" orientation="portrait" horizontalDpi="200" verticalDpi="20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2"/>
  <sheetViews>
    <sheetView zoomScaleNormal="100" workbookViewId="0">
      <pane xSplit="4" ySplit="3" topLeftCell="E50" activePane="bottomRight" state="frozen"/>
      <selection pane="topRight" activeCell="E1" sqref="E1"/>
      <selection pane="bottomLeft" activeCell="A4" sqref="A4"/>
      <selection pane="bottomRight" activeCell="H52" sqref="H52"/>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94.5" x14ac:dyDescent="0.25">
      <c r="A4" s="45">
        <v>1</v>
      </c>
      <c r="B4" s="40" t="s">
        <v>3</v>
      </c>
      <c r="C4" s="40" t="s">
        <v>4</v>
      </c>
      <c r="D4" s="40" t="s">
        <v>61</v>
      </c>
      <c r="F4" s="63">
        <v>1</v>
      </c>
      <c r="G4" s="64">
        <v>0.97</v>
      </c>
      <c r="H4" s="61">
        <f>F4*G4</f>
        <v>0.97</v>
      </c>
      <c r="I4" s="65" t="s">
        <v>337</v>
      </c>
    </row>
    <row r="5" spans="1:9" ht="126" x14ac:dyDescent="0.25">
      <c r="A5" s="46">
        <v>2</v>
      </c>
      <c r="B5" s="20" t="s">
        <v>3</v>
      </c>
      <c r="C5" s="20" t="s">
        <v>4</v>
      </c>
      <c r="D5" s="20" t="s">
        <v>62</v>
      </c>
      <c r="F5" s="59">
        <v>1</v>
      </c>
      <c r="G5" s="60">
        <v>1</v>
      </c>
      <c r="H5" s="61">
        <f t="shared" ref="H5:H51" si="0">F5*G5</f>
        <v>1</v>
      </c>
      <c r="I5" s="54" t="s">
        <v>100</v>
      </c>
    </row>
    <row r="6" spans="1:9" ht="78.75" x14ac:dyDescent="0.25">
      <c r="A6" s="46">
        <v>3</v>
      </c>
      <c r="B6" s="20" t="s">
        <v>3</v>
      </c>
      <c r="C6" s="20" t="s">
        <v>4</v>
      </c>
      <c r="D6" s="20" t="s">
        <v>63</v>
      </c>
      <c r="F6" s="63">
        <v>1</v>
      </c>
      <c r="G6" s="64">
        <v>1</v>
      </c>
      <c r="H6" s="61">
        <f t="shared" si="0"/>
        <v>1</v>
      </c>
      <c r="I6" s="54" t="s">
        <v>100</v>
      </c>
    </row>
    <row r="7" spans="1:9" ht="78.75" x14ac:dyDescent="0.25">
      <c r="A7" s="46">
        <v>4</v>
      </c>
      <c r="B7" s="20" t="s">
        <v>3</v>
      </c>
      <c r="C7" s="20" t="s">
        <v>4</v>
      </c>
      <c r="D7" s="20" t="s">
        <v>64</v>
      </c>
      <c r="F7" s="63">
        <v>1</v>
      </c>
      <c r="G7" s="64">
        <v>1</v>
      </c>
      <c r="H7" s="61">
        <f t="shared" si="0"/>
        <v>1</v>
      </c>
      <c r="I7" s="54" t="s">
        <v>100</v>
      </c>
    </row>
    <row r="8" spans="1:9" ht="126" x14ac:dyDescent="0.25">
      <c r="A8" s="46">
        <v>5</v>
      </c>
      <c r="B8" s="20" t="s">
        <v>3</v>
      </c>
      <c r="C8" s="20" t="s">
        <v>4</v>
      </c>
      <c r="D8" s="20" t="s">
        <v>65</v>
      </c>
      <c r="F8" s="63">
        <v>1</v>
      </c>
      <c r="G8" s="64">
        <v>0.95</v>
      </c>
      <c r="H8" s="61">
        <f t="shared" si="0"/>
        <v>0.95</v>
      </c>
      <c r="I8" s="54" t="s">
        <v>407</v>
      </c>
    </row>
    <row r="9" spans="1:9" s="36" customFormat="1" ht="409.5" x14ac:dyDescent="0.25">
      <c r="A9" s="47">
        <v>6</v>
      </c>
      <c r="B9" s="35" t="s">
        <v>3</v>
      </c>
      <c r="C9" s="35" t="s">
        <v>4</v>
      </c>
      <c r="D9" s="35" t="s">
        <v>66</v>
      </c>
      <c r="F9" s="63">
        <v>1</v>
      </c>
      <c r="G9" s="64">
        <v>0.85</v>
      </c>
      <c r="H9" s="61">
        <f t="shared" si="0"/>
        <v>0.85</v>
      </c>
      <c r="I9" s="58" t="s">
        <v>359</v>
      </c>
    </row>
    <row r="10" spans="1:9" ht="78.75" x14ac:dyDescent="0.25">
      <c r="A10" s="46">
        <v>7</v>
      </c>
      <c r="B10" s="20" t="s">
        <v>3</v>
      </c>
      <c r="C10" s="20" t="s">
        <v>4</v>
      </c>
      <c r="D10" s="20" t="s">
        <v>67</v>
      </c>
      <c r="F10" s="63">
        <v>1</v>
      </c>
      <c r="G10" s="64">
        <v>0.95</v>
      </c>
      <c r="H10" s="61">
        <f t="shared" si="0"/>
        <v>0.95</v>
      </c>
      <c r="I10" s="54" t="s">
        <v>360</v>
      </c>
    </row>
    <row r="11" spans="1:9" ht="78.75" x14ac:dyDescent="0.25">
      <c r="A11" s="46">
        <v>8</v>
      </c>
      <c r="B11" s="20" t="s">
        <v>3</v>
      </c>
      <c r="C11" s="20" t="s">
        <v>4</v>
      </c>
      <c r="D11" s="20" t="s">
        <v>68</v>
      </c>
      <c r="F11" s="63">
        <v>1</v>
      </c>
      <c r="G11" s="64">
        <v>1</v>
      </c>
      <c r="H11" s="61">
        <f t="shared" si="0"/>
        <v>1</v>
      </c>
      <c r="I11" s="55" t="s">
        <v>100</v>
      </c>
    </row>
    <row r="12" spans="1:9" ht="409.5" x14ac:dyDescent="0.25">
      <c r="A12" s="46">
        <v>9</v>
      </c>
      <c r="B12" s="20" t="s">
        <v>3</v>
      </c>
      <c r="C12" s="20" t="s">
        <v>4</v>
      </c>
      <c r="D12" s="20" t="s">
        <v>69</v>
      </c>
      <c r="F12" s="63">
        <v>1</v>
      </c>
      <c r="G12" s="64">
        <v>0.7</v>
      </c>
      <c r="H12" s="61">
        <f t="shared" si="0"/>
        <v>0.7</v>
      </c>
      <c r="I12" s="54" t="s">
        <v>408</v>
      </c>
    </row>
    <row r="13" spans="1:9" s="36" customFormat="1" ht="150" x14ac:dyDescent="0.25">
      <c r="A13" s="47">
        <v>10</v>
      </c>
      <c r="B13" s="35" t="s">
        <v>3</v>
      </c>
      <c r="C13" s="20" t="s">
        <v>4</v>
      </c>
      <c r="D13" s="35" t="s">
        <v>70</v>
      </c>
      <c r="F13" s="63">
        <v>1</v>
      </c>
      <c r="G13" s="64">
        <v>0.96</v>
      </c>
      <c r="H13" s="61">
        <f t="shared" si="0"/>
        <v>0.96</v>
      </c>
      <c r="I13" s="57" t="s">
        <v>409</v>
      </c>
    </row>
    <row r="14" spans="1:9" ht="120" x14ac:dyDescent="0.25">
      <c r="A14" s="46">
        <v>11</v>
      </c>
      <c r="B14" s="20" t="s">
        <v>25</v>
      </c>
      <c r="C14" s="20" t="s">
        <v>26</v>
      </c>
      <c r="D14" s="20" t="s">
        <v>71</v>
      </c>
      <c r="F14" s="63">
        <v>1</v>
      </c>
      <c r="G14" s="64">
        <v>0.95</v>
      </c>
      <c r="H14" s="61">
        <f t="shared" si="0"/>
        <v>0.95</v>
      </c>
      <c r="I14" s="54" t="s">
        <v>410</v>
      </c>
    </row>
    <row r="15" spans="1:9" ht="105" x14ac:dyDescent="0.25">
      <c r="A15" s="46">
        <v>12</v>
      </c>
      <c r="B15" s="20" t="s">
        <v>25</v>
      </c>
      <c r="C15" s="20" t="s">
        <v>26</v>
      </c>
      <c r="D15" s="20" t="s">
        <v>72</v>
      </c>
      <c r="F15" s="63">
        <v>1</v>
      </c>
      <c r="G15" s="64">
        <v>0.9</v>
      </c>
      <c r="H15" s="61">
        <f t="shared" si="0"/>
        <v>0.9</v>
      </c>
      <c r="I15" s="54" t="s">
        <v>411</v>
      </c>
    </row>
    <row r="16" spans="1:9" s="36" customFormat="1" ht="94.5" x14ac:dyDescent="0.25">
      <c r="A16" s="47">
        <v>13</v>
      </c>
      <c r="B16" s="35" t="s">
        <v>25</v>
      </c>
      <c r="C16" s="35" t="s">
        <v>26</v>
      </c>
      <c r="D16" s="35" t="s">
        <v>73</v>
      </c>
      <c r="F16" s="63">
        <v>1</v>
      </c>
      <c r="G16" s="64">
        <v>1</v>
      </c>
      <c r="H16" s="61">
        <f t="shared" si="0"/>
        <v>1</v>
      </c>
      <c r="I16" s="57" t="s">
        <v>100</v>
      </c>
    </row>
    <row r="17" spans="1:10" ht="63" x14ac:dyDescent="0.25">
      <c r="A17" s="46">
        <v>14</v>
      </c>
      <c r="B17" s="20" t="s">
        <v>25</v>
      </c>
      <c r="C17" s="20" t="s">
        <v>26</v>
      </c>
      <c r="D17" s="20" t="s">
        <v>74</v>
      </c>
      <c r="F17" s="63">
        <v>1</v>
      </c>
      <c r="G17" s="64">
        <v>1</v>
      </c>
      <c r="H17" s="61">
        <f t="shared" si="0"/>
        <v>1</v>
      </c>
      <c r="I17" s="54" t="s">
        <v>100</v>
      </c>
    </row>
    <row r="18" spans="1:10" ht="110.25" x14ac:dyDescent="0.25">
      <c r="A18" s="46">
        <v>15</v>
      </c>
      <c r="B18" s="20" t="s">
        <v>25</v>
      </c>
      <c r="C18" s="20" t="s">
        <v>26</v>
      </c>
      <c r="D18" s="20" t="s">
        <v>75</v>
      </c>
      <c r="F18" s="63">
        <v>1</v>
      </c>
      <c r="G18" s="64">
        <v>0.9</v>
      </c>
      <c r="H18" s="61">
        <f t="shared" si="0"/>
        <v>0.9</v>
      </c>
      <c r="I18" s="54" t="s">
        <v>234</v>
      </c>
    </row>
    <row r="19" spans="1:10" ht="47.25" x14ac:dyDescent="0.25">
      <c r="A19" s="46">
        <v>16</v>
      </c>
      <c r="B19" s="20" t="s">
        <v>5</v>
      </c>
      <c r="C19" s="40" t="s">
        <v>6</v>
      </c>
      <c r="D19" s="20" t="s">
        <v>76</v>
      </c>
      <c r="F19" s="63">
        <v>1</v>
      </c>
      <c r="G19" s="64">
        <v>1</v>
      </c>
      <c r="H19" s="61">
        <f t="shared" si="0"/>
        <v>1</v>
      </c>
      <c r="I19" s="54" t="s">
        <v>100</v>
      </c>
    </row>
    <row r="20" spans="1:10" ht="75" x14ac:dyDescent="0.25">
      <c r="A20" s="46">
        <v>17</v>
      </c>
      <c r="B20" s="20" t="s">
        <v>5</v>
      </c>
      <c r="C20" s="40" t="s">
        <v>6</v>
      </c>
      <c r="D20" s="20" t="s">
        <v>77</v>
      </c>
      <c r="F20" s="63">
        <v>1</v>
      </c>
      <c r="G20" s="64">
        <v>0.95</v>
      </c>
      <c r="H20" s="61">
        <f t="shared" si="0"/>
        <v>0.95</v>
      </c>
      <c r="I20" s="54" t="s">
        <v>235</v>
      </c>
    </row>
    <row r="21" spans="1:10" s="36" customFormat="1" ht="409.5" x14ac:dyDescent="0.25">
      <c r="A21" s="47">
        <v>18</v>
      </c>
      <c r="B21" s="35" t="s">
        <v>5</v>
      </c>
      <c r="C21" s="40" t="s">
        <v>6</v>
      </c>
      <c r="D21" s="35" t="s">
        <v>78</v>
      </c>
      <c r="F21" s="63">
        <v>1</v>
      </c>
      <c r="G21" s="64">
        <v>0.8</v>
      </c>
      <c r="H21" s="61">
        <f t="shared" si="0"/>
        <v>0.8</v>
      </c>
      <c r="I21" s="57" t="s">
        <v>236</v>
      </c>
    </row>
    <row r="22" spans="1:10" ht="409.5" x14ac:dyDescent="0.25">
      <c r="A22" s="46">
        <v>19</v>
      </c>
      <c r="B22" s="20" t="s">
        <v>5</v>
      </c>
      <c r="C22" s="40" t="s">
        <v>6</v>
      </c>
      <c r="D22" s="20" t="s">
        <v>79</v>
      </c>
      <c r="F22" s="63">
        <v>1</v>
      </c>
      <c r="G22" s="64">
        <v>0.67</v>
      </c>
      <c r="H22" s="61">
        <f t="shared" si="0"/>
        <v>0.67</v>
      </c>
      <c r="I22" s="54" t="s">
        <v>237</v>
      </c>
    </row>
    <row r="23" spans="1:10" ht="90" x14ac:dyDescent="0.25">
      <c r="A23" s="46">
        <v>20</v>
      </c>
      <c r="B23" s="20" t="s">
        <v>5</v>
      </c>
      <c r="C23" s="40" t="s">
        <v>6</v>
      </c>
      <c r="D23" s="20" t="s">
        <v>80</v>
      </c>
      <c r="F23" s="63">
        <v>1</v>
      </c>
      <c r="G23" s="64">
        <v>0.9</v>
      </c>
      <c r="H23" s="61">
        <f t="shared" si="0"/>
        <v>0.9</v>
      </c>
      <c r="I23" s="57" t="s">
        <v>238</v>
      </c>
    </row>
    <row r="24" spans="1:10" ht="141.75" x14ac:dyDescent="0.25">
      <c r="A24" s="46">
        <v>21</v>
      </c>
      <c r="B24" s="20" t="s">
        <v>5</v>
      </c>
      <c r="C24" s="40" t="s">
        <v>6</v>
      </c>
      <c r="D24" s="20" t="s">
        <v>81</v>
      </c>
      <c r="F24" s="63">
        <v>1</v>
      </c>
      <c r="G24" s="64">
        <v>1</v>
      </c>
      <c r="H24" s="61">
        <f t="shared" si="0"/>
        <v>1</v>
      </c>
      <c r="I24" s="54" t="s">
        <v>100</v>
      </c>
      <c r="J24" s="1" t="s">
        <v>24</v>
      </c>
    </row>
    <row r="25" spans="1:10" s="34" customFormat="1" ht="150" customHeight="1" x14ac:dyDescent="0.25">
      <c r="A25" s="47">
        <v>22</v>
      </c>
      <c r="B25" s="35" t="s">
        <v>5</v>
      </c>
      <c r="C25" s="35" t="s">
        <v>6</v>
      </c>
      <c r="D25" s="35" t="s">
        <v>82</v>
      </c>
      <c r="F25" s="63">
        <v>1</v>
      </c>
      <c r="G25" s="64">
        <v>0.9</v>
      </c>
      <c r="H25" s="61">
        <f t="shared" si="0"/>
        <v>0.9</v>
      </c>
      <c r="I25" s="58" t="s">
        <v>233</v>
      </c>
    </row>
    <row r="26" spans="1:10" ht="173.25" x14ac:dyDescent="0.25">
      <c r="A26" s="46">
        <v>23</v>
      </c>
      <c r="B26" s="20" t="s">
        <v>5</v>
      </c>
      <c r="C26" s="20" t="s">
        <v>6</v>
      </c>
      <c r="D26" s="20" t="s">
        <v>83</v>
      </c>
      <c r="F26" s="63">
        <v>1</v>
      </c>
      <c r="G26" s="64">
        <v>1</v>
      </c>
      <c r="H26" s="61">
        <f t="shared" si="0"/>
        <v>1</v>
      </c>
      <c r="I26" s="54" t="s">
        <v>100</v>
      </c>
    </row>
    <row r="27" spans="1:10" ht="47.25" x14ac:dyDescent="0.25">
      <c r="A27" s="46">
        <v>24</v>
      </c>
      <c r="B27" s="20" t="s">
        <v>5</v>
      </c>
      <c r="C27" s="20" t="s">
        <v>6</v>
      </c>
      <c r="D27" s="20" t="s">
        <v>84</v>
      </c>
      <c r="F27" s="63">
        <v>1</v>
      </c>
      <c r="G27" s="64">
        <v>1</v>
      </c>
      <c r="H27" s="61">
        <f t="shared" si="0"/>
        <v>1</v>
      </c>
      <c r="I27" s="54" t="s">
        <v>100</v>
      </c>
    </row>
    <row r="28" spans="1:10" ht="94.5" x14ac:dyDescent="0.25">
      <c r="A28" s="46">
        <v>25</v>
      </c>
      <c r="B28" s="20" t="s">
        <v>5</v>
      </c>
      <c r="C28" s="20" t="s">
        <v>6</v>
      </c>
      <c r="D28" s="20" t="s">
        <v>85</v>
      </c>
      <c r="F28" s="63">
        <v>1</v>
      </c>
      <c r="G28" s="64">
        <v>1</v>
      </c>
      <c r="H28" s="61">
        <f t="shared" si="0"/>
        <v>1</v>
      </c>
      <c r="I28" s="54" t="s">
        <v>100</v>
      </c>
    </row>
    <row r="29" spans="1:10" ht="63" x14ac:dyDescent="0.25">
      <c r="A29" s="46">
        <v>26</v>
      </c>
      <c r="B29" s="20" t="s">
        <v>5</v>
      </c>
      <c r="C29" s="20" t="s">
        <v>6</v>
      </c>
      <c r="D29" s="20" t="s">
        <v>86</v>
      </c>
      <c r="F29" s="63">
        <v>1</v>
      </c>
      <c r="G29" s="64">
        <v>1</v>
      </c>
      <c r="H29" s="61">
        <f t="shared" si="0"/>
        <v>1</v>
      </c>
      <c r="I29" s="54" t="s">
        <v>100</v>
      </c>
    </row>
    <row r="30" spans="1:10" ht="150" x14ac:dyDescent="0.25">
      <c r="A30" s="46">
        <v>27</v>
      </c>
      <c r="B30" s="20" t="s">
        <v>5</v>
      </c>
      <c r="C30" s="42" t="s">
        <v>7</v>
      </c>
      <c r="D30" s="20" t="s">
        <v>87</v>
      </c>
      <c r="F30" s="63">
        <v>1</v>
      </c>
      <c r="G30" s="64">
        <v>0.9</v>
      </c>
      <c r="H30" s="61">
        <f t="shared" si="0"/>
        <v>0.9</v>
      </c>
      <c r="I30" s="54" t="s">
        <v>239</v>
      </c>
    </row>
    <row r="31" spans="1:10" ht="120" x14ac:dyDescent="0.25">
      <c r="A31" s="46">
        <v>28</v>
      </c>
      <c r="B31" s="20" t="s">
        <v>5</v>
      </c>
      <c r="C31" s="42" t="s">
        <v>7</v>
      </c>
      <c r="D31" s="20" t="s">
        <v>88</v>
      </c>
      <c r="F31" s="63">
        <v>1</v>
      </c>
      <c r="G31" s="64">
        <v>0.88</v>
      </c>
      <c r="H31" s="61">
        <f t="shared" si="0"/>
        <v>0.88</v>
      </c>
      <c r="I31" s="54" t="s">
        <v>240</v>
      </c>
    </row>
    <row r="32" spans="1:10" ht="47.25" x14ac:dyDescent="0.25">
      <c r="A32" s="46">
        <v>29</v>
      </c>
      <c r="B32" s="20" t="s">
        <v>5</v>
      </c>
      <c r="C32" s="42" t="s">
        <v>7</v>
      </c>
      <c r="D32" s="20" t="s">
        <v>89</v>
      </c>
      <c r="F32" s="59">
        <v>1</v>
      </c>
      <c r="G32" s="60">
        <v>1</v>
      </c>
      <c r="H32" s="61">
        <f t="shared" si="0"/>
        <v>1</v>
      </c>
      <c r="I32" s="54" t="s">
        <v>100</v>
      </c>
    </row>
    <row r="33" spans="1:9" ht="110.25" x14ac:dyDescent="0.25">
      <c r="A33" s="46">
        <v>30</v>
      </c>
      <c r="B33" s="20" t="s">
        <v>5</v>
      </c>
      <c r="C33" s="42" t="s">
        <v>7</v>
      </c>
      <c r="D33" s="20" t="s">
        <v>90</v>
      </c>
      <c r="F33" s="59">
        <v>1</v>
      </c>
      <c r="G33" s="60">
        <v>1</v>
      </c>
      <c r="H33" s="61">
        <f t="shared" si="0"/>
        <v>1</v>
      </c>
      <c r="I33" s="54" t="s">
        <v>100</v>
      </c>
    </row>
    <row r="34" spans="1:9" s="36" customFormat="1" ht="94.5" customHeight="1" x14ac:dyDescent="0.25">
      <c r="A34" s="47">
        <v>31</v>
      </c>
      <c r="B34" s="35" t="s">
        <v>8</v>
      </c>
      <c r="C34" s="35" t="s">
        <v>9</v>
      </c>
      <c r="D34" s="44" t="s">
        <v>91</v>
      </c>
      <c r="F34" s="66">
        <v>1</v>
      </c>
      <c r="G34" s="67">
        <v>1</v>
      </c>
      <c r="H34" s="61">
        <f t="shared" si="0"/>
        <v>1</v>
      </c>
      <c r="I34" s="57" t="s">
        <v>152</v>
      </c>
    </row>
    <row r="35" spans="1:9" ht="78.75" x14ac:dyDescent="0.25">
      <c r="A35" s="46">
        <v>32</v>
      </c>
      <c r="B35" s="40" t="s">
        <v>8</v>
      </c>
      <c r="C35" s="40" t="s">
        <v>9</v>
      </c>
      <c r="D35" s="22" t="s">
        <v>92</v>
      </c>
      <c r="F35" s="59">
        <v>1</v>
      </c>
      <c r="G35" s="60">
        <v>1</v>
      </c>
      <c r="H35" s="61">
        <f t="shared" si="0"/>
        <v>1</v>
      </c>
      <c r="I35" s="57" t="s">
        <v>152</v>
      </c>
    </row>
    <row r="36" spans="1:9" ht="47.25" x14ac:dyDescent="0.25">
      <c r="A36" s="46">
        <v>33</v>
      </c>
      <c r="B36" s="40" t="s">
        <v>8</v>
      </c>
      <c r="C36" s="40" t="s">
        <v>9</v>
      </c>
      <c r="D36" s="20" t="s">
        <v>93</v>
      </c>
      <c r="F36" s="59">
        <v>1</v>
      </c>
      <c r="G36" s="60">
        <v>1</v>
      </c>
      <c r="H36" s="61">
        <f t="shared" si="0"/>
        <v>1</v>
      </c>
      <c r="I36" s="57" t="s">
        <v>152</v>
      </c>
    </row>
    <row r="37" spans="1:9" ht="94.5" x14ac:dyDescent="0.25">
      <c r="A37" s="46">
        <v>34</v>
      </c>
      <c r="B37" s="40" t="s">
        <v>8</v>
      </c>
      <c r="C37" s="40" t="s">
        <v>9</v>
      </c>
      <c r="D37" s="20" t="s">
        <v>94</v>
      </c>
      <c r="F37" s="59">
        <v>1</v>
      </c>
      <c r="G37" s="60">
        <v>1</v>
      </c>
      <c r="H37" s="61">
        <f t="shared" si="0"/>
        <v>1</v>
      </c>
      <c r="I37" s="57" t="s">
        <v>152</v>
      </c>
    </row>
    <row r="38" spans="1:9" ht="63" x14ac:dyDescent="0.25">
      <c r="A38" s="46">
        <v>35</v>
      </c>
      <c r="B38" s="40" t="s">
        <v>8</v>
      </c>
      <c r="C38" s="40" t="s">
        <v>9</v>
      </c>
      <c r="D38" s="20" t="s">
        <v>95</v>
      </c>
      <c r="F38" s="59">
        <v>1</v>
      </c>
      <c r="G38" s="60">
        <v>1</v>
      </c>
      <c r="H38" s="61">
        <f t="shared" si="0"/>
        <v>1</v>
      </c>
      <c r="I38" s="57" t="s">
        <v>152</v>
      </c>
    </row>
    <row r="39" spans="1:9" ht="94.5" x14ac:dyDescent="0.25">
      <c r="A39" s="46">
        <v>36</v>
      </c>
      <c r="B39" s="40" t="s">
        <v>8</v>
      </c>
      <c r="C39" s="40" t="s">
        <v>9</v>
      </c>
      <c r="D39" s="20" t="s">
        <v>96</v>
      </c>
      <c r="F39" s="59">
        <v>1</v>
      </c>
      <c r="G39" s="60">
        <v>1</v>
      </c>
      <c r="H39" s="61">
        <f t="shared" si="0"/>
        <v>1</v>
      </c>
      <c r="I39" s="57" t="s">
        <v>152</v>
      </c>
    </row>
    <row r="40" spans="1:9" ht="47.25" x14ac:dyDescent="0.25">
      <c r="A40" s="46">
        <v>37</v>
      </c>
      <c r="B40" s="40" t="s">
        <v>8</v>
      </c>
      <c r="C40" s="40" t="s">
        <v>9</v>
      </c>
      <c r="D40" s="20" t="s">
        <v>97</v>
      </c>
      <c r="F40" s="59">
        <v>1</v>
      </c>
      <c r="G40" s="60">
        <v>1</v>
      </c>
      <c r="H40" s="61">
        <f t="shared" si="0"/>
        <v>1</v>
      </c>
      <c r="I40" s="57" t="s">
        <v>152</v>
      </c>
    </row>
    <row r="41" spans="1:9" s="36" customFormat="1" ht="123" customHeight="1" x14ac:dyDescent="0.25">
      <c r="A41" s="47">
        <v>38</v>
      </c>
      <c r="B41" s="35" t="s">
        <v>8</v>
      </c>
      <c r="C41" s="35" t="s">
        <v>9</v>
      </c>
      <c r="D41" s="35" t="s">
        <v>171</v>
      </c>
      <c r="F41" s="66">
        <v>1</v>
      </c>
      <c r="G41" s="67">
        <v>0.95</v>
      </c>
      <c r="H41" s="61">
        <f t="shared" si="0"/>
        <v>0.95</v>
      </c>
      <c r="I41" s="57" t="s">
        <v>184</v>
      </c>
    </row>
    <row r="42" spans="1:9" s="36" customFormat="1" ht="192.75" customHeight="1" x14ac:dyDescent="0.25">
      <c r="A42" s="47">
        <v>39</v>
      </c>
      <c r="B42" s="20" t="s">
        <v>10</v>
      </c>
      <c r="C42" s="20" t="s">
        <v>28</v>
      </c>
      <c r="D42" s="35" t="s">
        <v>52</v>
      </c>
      <c r="F42" s="66">
        <v>1</v>
      </c>
      <c r="G42" s="67">
        <v>1</v>
      </c>
      <c r="H42" s="61">
        <f t="shared" si="0"/>
        <v>1</v>
      </c>
      <c r="I42" s="58" t="s">
        <v>152</v>
      </c>
    </row>
    <row r="43" spans="1:9" ht="125.25" customHeight="1" x14ac:dyDescent="0.25">
      <c r="A43" s="46">
        <v>40</v>
      </c>
      <c r="B43" s="20" t="s">
        <v>10</v>
      </c>
      <c r="C43" s="20" t="s">
        <v>27</v>
      </c>
      <c r="D43" s="20" t="s">
        <v>109</v>
      </c>
      <c r="F43" s="59">
        <v>1</v>
      </c>
      <c r="G43" s="60">
        <v>1</v>
      </c>
      <c r="H43" s="61">
        <f t="shared" si="0"/>
        <v>1</v>
      </c>
      <c r="I43" s="54" t="s">
        <v>152</v>
      </c>
    </row>
    <row r="44" spans="1:9" ht="330" x14ac:dyDescent="0.25">
      <c r="A44" s="46">
        <v>41</v>
      </c>
      <c r="B44" s="20" t="s">
        <v>10</v>
      </c>
      <c r="C44" s="20" t="s">
        <v>27</v>
      </c>
      <c r="D44" s="20" t="s">
        <v>99</v>
      </c>
      <c r="F44" s="59">
        <v>1</v>
      </c>
      <c r="G44" s="60">
        <v>0.75</v>
      </c>
      <c r="H44" s="61">
        <f t="shared" si="0"/>
        <v>0.75</v>
      </c>
      <c r="I44" s="54" t="s">
        <v>135</v>
      </c>
    </row>
    <row r="45" spans="1:9" ht="126.75" customHeight="1" x14ac:dyDescent="0.25">
      <c r="A45" s="46">
        <v>42</v>
      </c>
      <c r="B45" s="20" t="s">
        <v>10</v>
      </c>
      <c r="C45" s="20" t="s">
        <v>10</v>
      </c>
      <c r="D45" s="20" t="s">
        <v>54</v>
      </c>
      <c r="F45" s="59">
        <v>1</v>
      </c>
      <c r="G45" s="60">
        <v>0.8</v>
      </c>
      <c r="H45" s="61">
        <f t="shared" si="0"/>
        <v>0.8</v>
      </c>
      <c r="I45" s="54" t="s">
        <v>160</v>
      </c>
    </row>
    <row r="46" spans="1:9" ht="353.25" customHeight="1" x14ac:dyDescent="0.25">
      <c r="A46" s="46">
        <v>43</v>
      </c>
      <c r="B46" s="20" t="s">
        <v>10</v>
      </c>
      <c r="C46" s="20" t="s">
        <v>29</v>
      </c>
      <c r="D46" s="20" t="s">
        <v>55</v>
      </c>
      <c r="F46" s="59">
        <v>1</v>
      </c>
      <c r="G46" s="60">
        <v>0.8</v>
      </c>
      <c r="H46" s="61">
        <f t="shared" si="0"/>
        <v>0.8</v>
      </c>
      <c r="I46" s="55" t="s">
        <v>121</v>
      </c>
    </row>
    <row r="47" spans="1:9" s="41" customFormat="1" ht="390" x14ac:dyDescent="0.25">
      <c r="A47" s="45">
        <v>44</v>
      </c>
      <c r="B47" s="20" t="s">
        <v>10</v>
      </c>
      <c r="C47" s="20" t="s">
        <v>10</v>
      </c>
      <c r="D47" s="35" t="s">
        <v>56</v>
      </c>
      <c r="F47" s="63">
        <v>1</v>
      </c>
      <c r="G47" s="64">
        <v>0.73</v>
      </c>
      <c r="H47" s="61">
        <f t="shared" si="0"/>
        <v>0.73</v>
      </c>
      <c r="I47" s="56" t="s">
        <v>150</v>
      </c>
    </row>
    <row r="48" spans="1:9" ht="110.25" x14ac:dyDescent="0.25">
      <c r="A48" s="46">
        <v>45</v>
      </c>
      <c r="B48" s="20" t="s">
        <v>10</v>
      </c>
      <c r="C48" s="20" t="s">
        <v>10</v>
      </c>
      <c r="D48" s="20" t="s">
        <v>57</v>
      </c>
      <c r="F48" s="59">
        <v>1</v>
      </c>
      <c r="G48" s="60">
        <v>0.95</v>
      </c>
      <c r="H48" s="61">
        <f t="shared" si="0"/>
        <v>0.95</v>
      </c>
      <c r="I48" s="55" t="s">
        <v>101</v>
      </c>
    </row>
    <row r="49" spans="1:9" ht="195" x14ac:dyDescent="0.25">
      <c r="A49" s="46">
        <v>46</v>
      </c>
      <c r="B49" s="20" t="s">
        <v>10</v>
      </c>
      <c r="C49" s="20" t="s">
        <v>10</v>
      </c>
      <c r="D49" s="20" t="s">
        <v>58</v>
      </c>
      <c r="F49" s="59">
        <v>1</v>
      </c>
      <c r="G49" s="60">
        <v>0.93</v>
      </c>
      <c r="H49" s="61">
        <f t="shared" si="0"/>
        <v>0.93</v>
      </c>
      <c r="I49" s="57" t="s">
        <v>104</v>
      </c>
    </row>
    <row r="50" spans="1:9" s="36" customFormat="1" ht="90.75" customHeight="1" x14ac:dyDescent="0.25">
      <c r="A50" s="47">
        <v>47</v>
      </c>
      <c r="B50" s="35" t="s">
        <v>10</v>
      </c>
      <c r="C50" s="35" t="s">
        <v>10</v>
      </c>
      <c r="D50" s="35" t="s">
        <v>59</v>
      </c>
      <c r="F50" s="66">
        <v>1</v>
      </c>
      <c r="G50" s="67">
        <v>0.95</v>
      </c>
      <c r="H50" s="61">
        <f t="shared" si="0"/>
        <v>0.95</v>
      </c>
      <c r="I50" s="58" t="s">
        <v>151</v>
      </c>
    </row>
    <row r="51" spans="1:9" ht="142.5" customHeight="1" x14ac:dyDescent="0.25">
      <c r="A51" s="46">
        <v>48</v>
      </c>
      <c r="B51" s="20" t="s">
        <v>10</v>
      </c>
      <c r="C51" s="20" t="s">
        <v>10</v>
      </c>
      <c r="D51" s="20" t="s">
        <v>60</v>
      </c>
      <c r="F51" s="59">
        <v>1</v>
      </c>
      <c r="G51" s="60">
        <v>0.75</v>
      </c>
      <c r="H51" s="61">
        <f t="shared" si="0"/>
        <v>0.75</v>
      </c>
      <c r="I51" s="55" t="s">
        <v>141</v>
      </c>
    </row>
    <row r="52" spans="1:9" x14ac:dyDescent="0.25">
      <c r="H52" s="52"/>
    </row>
  </sheetData>
  <mergeCells count="2">
    <mergeCell ref="B2:D2"/>
    <mergeCell ref="F2:I2"/>
  </mergeCells>
  <pageMargins left="0.511811024" right="0.511811024" top="0.78740157499999996" bottom="0.78740157499999996" header="0.31496062000000002" footer="0.31496062000000002"/>
  <pageSetup paperSize="9" orientation="portrait" horizontalDpi="200" verticalDpi="200" copies="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54"/>
  <sheetViews>
    <sheetView zoomScaleNormal="100" workbookViewId="0">
      <pane xSplit="4" ySplit="3" topLeftCell="E50" activePane="bottomRight" state="frozen"/>
      <selection pane="topRight" activeCell="E1" sqref="E1"/>
      <selection pane="bottomLeft" activeCell="A4" sqref="A4"/>
      <selection pane="bottomRight" activeCell="H51" sqref="H51"/>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94.5" x14ac:dyDescent="0.25">
      <c r="A4" s="45">
        <v>1</v>
      </c>
      <c r="B4" s="40" t="s">
        <v>3</v>
      </c>
      <c r="C4" s="40" t="s">
        <v>4</v>
      </c>
      <c r="D4" s="40" t="s">
        <v>61</v>
      </c>
      <c r="F4" s="63">
        <v>1</v>
      </c>
      <c r="G4" s="64">
        <v>0.97</v>
      </c>
      <c r="H4" s="61">
        <f>F4*G4</f>
        <v>0.97</v>
      </c>
      <c r="I4" s="65" t="s">
        <v>337</v>
      </c>
    </row>
    <row r="5" spans="1:9" ht="409.5" x14ac:dyDescent="0.25">
      <c r="A5" s="46">
        <v>2</v>
      </c>
      <c r="B5" s="20" t="s">
        <v>3</v>
      </c>
      <c r="C5" s="20" t="s">
        <v>4</v>
      </c>
      <c r="D5" s="20" t="s">
        <v>62</v>
      </c>
      <c r="F5" s="59">
        <v>1</v>
      </c>
      <c r="G5" s="60">
        <v>0.82</v>
      </c>
      <c r="H5" s="61">
        <f t="shared" ref="H5:H51" si="0">F5*G5</f>
        <v>0.82</v>
      </c>
      <c r="I5" s="54" t="s">
        <v>412</v>
      </c>
    </row>
    <row r="6" spans="1:9" ht="409.5" x14ac:dyDescent="0.25">
      <c r="A6" s="46">
        <v>3</v>
      </c>
      <c r="B6" s="20" t="s">
        <v>3</v>
      </c>
      <c r="C6" s="20" t="s">
        <v>4</v>
      </c>
      <c r="D6" s="20" t="s">
        <v>63</v>
      </c>
      <c r="F6" s="63">
        <v>1</v>
      </c>
      <c r="G6" s="64">
        <v>0.75</v>
      </c>
      <c r="H6" s="61">
        <f t="shared" si="0"/>
        <v>0.75</v>
      </c>
      <c r="I6" s="54" t="s">
        <v>413</v>
      </c>
    </row>
    <row r="7" spans="1:9" ht="345" x14ac:dyDescent="0.25">
      <c r="A7" s="46">
        <v>4</v>
      </c>
      <c r="B7" s="20" t="s">
        <v>3</v>
      </c>
      <c r="C7" s="20" t="s">
        <v>4</v>
      </c>
      <c r="D7" s="20" t="s">
        <v>64</v>
      </c>
      <c r="F7" s="63">
        <v>1</v>
      </c>
      <c r="G7" s="64">
        <v>0.9</v>
      </c>
      <c r="H7" s="61">
        <f t="shared" si="0"/>
        <v>0.9</v>
      </c>
      <c r="I7" s="54" t="s">
        <v>340</v>
      </c>
    </row>
    <row r="8" spans="1:9" ht="409.5" x14ac:dyDescent="0.25">
      <c r="A8" s="46">
        <v>5</v>
      </c>
      <c r="B8" s="20" t="s">
        <v>3</v>
      </c>
      <c r="C8" s="20" t="s">
        <v>4</v>
      </c>
      <c r="D8" s="20" t="s">
        <v>65</v>
      </c>
      <c r="F8" s="63">
        <v>1</v>
      </c>
      <c r="G8" s="64">
        <v>0.74</v>
      </c>
      <c r="H8" s="61">
        <f t="shared" si="0"/>
        <v>0.74</v>
      </c>
      <c r="I8" s="54" t="s">
        <v>414</v>
      </c>
    </row>
    <row r="9" spans="1:9" s="36" customFormat="1" ht="409.5" x14ac:dyDescent="0.25">
      <c r="A9" s="47">
        <v>6</v>
      </c>
      <c r="B9" s="35" t="s">
        <v>3</v>
      </c>
      <c r="C9" s="35" t="s">
        <v>4</v>
      </c>
      <c r="D9" s="35" t="s">
        <v>66</v>
      </c>
      <c r="F9" s="63">
        <v>1</v>
      </c>
      <c r="G9" s="64">
        <v>0.73</v>
      </c>
      <c r="H9" s="61">
        <f t="shared" si="0"/>
        <v>0.73</v>
      </c>
      <c r="I9" s="58" t="s">
        <v>415</v>
      </c>
    </row>
    <row r="10" spans="1:9" ht="135" x14ac:dyDescent="0.25">
      <c r="A10" s="46">
        <v>7</v>
      </c>
      <c r="B10" s="20" t="s">
        <v>3</v>
      </c>
      <c r="C10" s="20" t="s">
        <v>4</v>
      </c>
      <c r="D10" s="20" t="s">
        <v>67</v>
      </c>
      <c r="F10" s="63">
        <v>1</v>
      </c>
      <c r="G10" s="64">
        <v>0.82</v>
      </c>
      <c r="H10" s="61">
        <f t="shared" si="0"/>
        <v>0.82</v>
      </c>
      <c r="I10" s="54" t="s">
        <v>405</v>
      </c>
    </row>
    <row r="11" spans="1:9" ht="315" x14ac:dyDescent="0.25">
      <c r="A11" s="46">
        <v>8</v>
      </c>
      <c r="B11" s="20" t="s">
        <v>3</v>
      </c>
      <c r="C11" s="20" t="s">
        <v>4</v>
      </c>
      <c r="D11" s="20" t="s">
        <v>68</v>
      </c>
      <c r="F11" s="63">
        <v>1</v>
      </c>
      <c r="G11" s="64">
        <v>0.9</v>
      </c>
      <c r="H11" s="61">
        <f t="shared" si="0"/>
        <v>0.9</v>
      </c>
      <c r="I11" s="55" t="s">
        <v>344</v>
      </c>
    </row>
    <row r="12" spans="1:9" ht="120" x14ac:dyDescent="0.25">
      <c r="A12" s="46">
        <v>9</v>
      </c>
      <c r="B12" s="20" t="s">
        <v>3</v>
      </c>
      <c r="C12" s="20" t="s">
        <v>4</v>
      </c>
      <c r="D12" s="20" t="s">
        <v>69</v>
      </c>
      <c r="F12" s="63">
        <v>1</v>
      </c>
      <c r="G12" s="64">
        <v>0.84</v>
      </c>
      <c r="H12" s="61">
        <f t="shared" si="0"/>
        <v>0.84</v>
      </c>
      <c r="I12" s="54" t="s">
        <v>370</v>
      </c>
    </row>
    <row r="13" spans="1:9" s="36" customFormat="1" ht="126" x14ac:dyDescent="0.25">
      <c r="A13" s="47">
        <v>10</v>
      </c>
      <c r="B13" s="35" t="s">
        <v>3</v>
      </c>
      <c r="C13" s="20" t="s">
        <v>4</v>
      </c>
      <c r="D13" s="35" t="s">
        <v>70</v>
      </c>
      <c r="F13" s="63">
        <v>1</v>
      </c>
      <c r="G13" s="64">
        <v>0.97</v>
      </c>
      <c r="H13" s="61">
        <f t="shared" si="0"/>
        <v>0.97</v>
      </c>
      <c r="I13" s="57" t="s">
        <v>380</v>
      </c>
    </row>
    <row r="14" spans="1:9" ht="135" x14ac:dyDescent="0.25">
      <c r="A14" s="46">
        <v>11</v>
      </c>
      <c r="B14" s="20" t="s">
        <v>25</v>
      </c>
      <c r="C14" s="20" t="s">
        <v>26</v>
      </c>
      <c r="D14" s="20" t="s">
        <v>71</v>
      </c>
      <c r="F14" s="63">
        <v>1</v>
      </c>
      <c r="G14" s="64">
        <v>0.98</v>
      </c>
      <c r="H14" s="61">
        <f t="shared" si="0"/>
        <v>0.98</v>
      </c>
      <c r="I14" s="54" t="s">
        <v>284</v>
      </c>
    </row>
    <row r="15" spans="1:9" ht="150" x14ac:dyDescent="0.25">
      <c r="A15" s="46">
        <v>12</v>
      </c>
      <c r="B15" s="20" t="s">
        <v>25</v>
      </c>
      <c r="C15" s="20" t="s">
        <v>26</v>
      </c>
      <c r="D15" s="20" t="s">
        <v>72</v>
      </c>
      <c r="F15" s="63">
        <v>1</v>
      </c>
      <c r="G15" s="64">
        <v>0.95</v>
      </c>
      <c r="H15" s="61">
        <f t="shared" si="0"/>
        <v>0.95</v>
      </c>
      <c r="I15" s="54" t="s">
        <v>285</v>
      </c>
    </row>
    <row r="16" spans="1:9" s="36" customFormat="1" ht="94.5" x14ac:dyDescent="0.25">
      <c r="A16" s="47">
        <v>13</v>
      </c>
      <c r="B16" s="35" t="s">
        <v>25</v>
      </c>
      <c r="C16" s="35" t="s">
        <v>26</v>
      </c>
      <c r="D16" s="35" t="s">
        <v>73</v>
      </c>
      <c r="F16" s="63">
        <v>1</v>
      </c>
      <c r="G16" s="64">
        <v>1</v>
      </c>
      <c r="H16" s="61">
        <f t="shared" si="0"/>
        <v>1</v>
      </c>
      <c r="I16" s="57" t="s">
        <v>100</v>
      </c>
    </row>
    <row r="17" spans="1:10" ht="63" x14ac:dyDescent="0.25">
      <c r="A17" s="46">
        <v>14</v>
      </c>
      <c r="B17" s="20" t="s">
        <v>25</v>
      </c>
      <c r="C17" s="20" t="s">
        <v>26</v>
      </c>
      <c r="D17" s="20" t="s">
        <v>74</v>
      </c>
      <c r="F17" s="63">
        <v>1</v>
      </c>
      <c r="G17" s="64">
        <v>1</v>
      </c>
      <c r="H17" s="61">
        <f t="shared" si="0"/>
        <v>1</v>
      </c>
      <c r="I17" s="54" t="s">
        <v>100</v>
      </c>
    </row>
    <row r="18" spans="1:10" ht="110.25" x14ac:dyDescent="0.25">
      <c r="A18" s="46">
        <v>15</v>
      </c>
      <c r="B18" s="20" t="s">
        <v>25</v>
      </c>
      <c r="C18" s="20" t="s">
        <v>26</v>
      </c>
      <c r="D18" s="20" t="s">
        <v>75</v>
      </c>
      <c r="F18" s="63">
        <v>1</v>
      </c>
      <c r="G18" s="64">
        <v>0.9</v>
      </c>
      <c r="H18" s="61">
        <f t="shared" si="0"/>
        <v>0.9</v>
      </c>
      <c r="I18" s="54" t="s">
        <v>286</v>
      </c>
    </row>
    <row r="19" spans="1:10" ht="47.25" x14ac:dyDescent="0.25">
      <c r="A19" s="46">
        <v>16</v>
      </c>
      <c r="B19" s="20" t="s">
        <v>5</v>
      </c>
      <c r="C19" s="40" t="s">
        <v>6</v>
      </c>
      <c r="D19" s="20" t="s">
        <v>76</v>
      </c>
      <c r="F19" s="63">
        <v>1</v>
      </c>
      <c r="G19" s="64">
        <v>1</v>
      </c>
      <c r="H19" s="61">
        <f t="shared" si="0"/>
        <v>1</v>
      </c>
      <c r="I19" s="54" t="s">
        <v>100</v>
      </c>
    </row>
    <row r="20" spans="1:10" ht="120" x14ac:dyDescent="0.25">
      <c r="A20" s="46">
        <v>17</v>
      </c>
      <c r="B20" s="20" t="s">
        <v>5</v>
      </c>
      <c r="C20" s="40" t="s">
        <v>6</v>
      </c>
      <c r="D20" s="20" t="s">
        <v>77</v>
      </c>
      <c r="F20" s="63">
        <v>1</v>
      </c>
      <c r="G20" s="64">
        <v>0.8</v>
      </c>
      <c r="H20" s="61">
        <f t="shared" si="0"/>
        <v>0.8</v>
      </c>
      <c r="I20" s="54" t="s">
        <v>287</v>
      </c>
    </row>
    <row r="21" spans="1:10" s="36" customFormat="1" ht="210" x14ac:dyDescent="0.25">
      <c r="A21" s="47">
        <v>18</v>
      </c>
      <c r="B21" s="35" t="s">
        <v>5</v>
      </c>
      <c r="C21" s="40" t="s">
        <v>6</v>
      </c>
      <c r="D21" s="35" t="s">
        <v>78</v>
      </c>
      <c r="F21" s="63">
        <v>1</v>
      </c>
      <c r="G21" s="64">
        <v>0.9</v>
      </c>
      <c r="H21" s="61">
        <f t="shared" si="0"/>
        <v>0.9</v>
      </c>
      <c r="I21" s="57" t="s">
        <v>275</v>
      </c>
    </row>
    <row r="22" spans="1:10" ht="180" x14ac:dyDescent="0.25">
      <c r="A22" s="46">
        <v>19</v>
      </c>
      <c r="B22" s="20" t="s">
        <v>5</v>
      </c>
      <c r="C22" s="40" t="s">
        <v>6</v>
      </c>
      <c r="D22" s="20" t="s">
        <v>79</v>
      </c>
      <c r="F22" s="63">
        <v>1</v>
      </c>
      <c r="G22" s="64">
        <v>0.86</v>
      </c>
      <c r="H22" s="61">
        <f t="shared" si="0"/>
        <v>0.86</v>
      </c>
      <c r="I22" s="54" t="s">
        <v>288</v>
      </c>
    </row>
    <row r="23" spans="1:10" ht="78.75" x14ac:dyDescent="0.25">
      <c r="A23" s="46">
        <v>20</v>
      </c>
      <c r="B23" s="20" t="s">
        <v>5</v>
      </c>
      <c r="C23" s="40" t="s">
        <v>6</v>
      </c>
      <c r="D23" s="20" t="s">
        <v>80</v>
      </c>
      <c r="F23" s="63">
        <v>1</v>
      </c>
      <c r="G23" s="64">
        <v>1</v>
      </c>
      <c r="H23" s="61">
        <f t="shared" si="0"/>
        <v>1</v>
      </c>
      <c r="I23" s="57" t="s">
        <v>100</v>
      </c>
    </row>
    <row r="24" spans="1:10" ht="141.75" x14ac:dyDescent="0.25">
      <c r="A24" s="46">
        <v>21</v>
      </c>
      <c r="B24" s="20" t="s">
        <v>5</v>
      </c>
      <c r="C24" s="40" t="s">
        <v>6</v>
      </c>
      <c r="D24" s="20" t="s">
        <v>81</v>
      </c>
      <c r="F24" s="63">
        <v>1</v>
      </c>
      <c r="G24" s="64">
        <v>1</v>
      </c>
      <c r="H24" s="61">
        <f t="shared" si="0"/>
        <v>1</v>
      </c>
      <c r="I24" s="54" t="s">
        <v>100</v>
      </c>
      <c r="J24" s="1" t="s">
        <v>24</v>
      </c>
    </row>
    <row r="25" spans="1:10" s="34" customFormat="1" ht="150" customHeight="1" x14ac:dyDescent="0.25">
      <c r="A25" s="47">
        <v>22</v>
      </c>
      <c r="B25" s="35" t="s">
        <v>5</v>
      </c>
      <c r="C25" s="35" t="s">
        <v>6</v>
      </c>
      <c r="D25" s="35" t="s">
        <v>82</v>
      </c>
      <c r="F25" s="63">
        <v>1</v>
      </c>
      <c r="G25" s="64">
        <v>1</v>
      </c>
      <c r="H25" s="61">
        <f t="shared" si="0"/>
        <v>1</v>
      </c>
      <c r="I25" s="58" t="s">
        <v>100</v>
      </c>
    </row>
    <row r="26" spans="1:10" ht="173.25" x14ac:dyDescent="0.25">
      <c r="A26" s="46">
        <v>23</v>
      </c>
      <c r="B26" s="20" t="s">
        <v>5</v>
      </c>
      <c r="C26" s="20" t="s">
        <v>6</v>
      </c>
      <c r="D26" s="20" t="s">
        <v>83</v>
      </c>
      <c r="F26" s="63">
        <v>1</v>
      </c>
      <c r="G26" s="64">
        <v>0.95</v>
      </c>
      <c r="H26" s="61">
        <f t="shared" si="0"/>
        <v>0.95</v>
      </c>
      <c r="I26" s="54" t="s">
        <v>289</v>
      </c>
    </row>
    <row r="27" spans="1:10" ht="75" x14ac:dyDescent="0.25">
      <c r="A27" s="46">
        <v>24</v>
      </c>
      <c r="B27" s="20" t="s">
        <v>5</v>
      </c>
      <c r="C27" s="20" t="s">
        <v>6</v>
      </c>
      <c r="D27" s="20" t="s">
        <v>84</v>
      </c>
      <c r="F27" s="63">
        <v>1</v>
      </c>
      <c r="G27" s="64">
        <v>0.85</v>
      </c>
      <c r="H27" s="61">
        <f t="shared" si="0"/>
        <v>0.85</v>
      </c>
      <c r="I27" s="54" t="s">
        <v>290</v>
      </c>
    </row>
    <row r="28" spans="1:10" ht="94.5" x14ac:dyDescent="0.25">
      <c r="A28" s="46">
        <v>25</v>
      </c>
      <c r="B28" s="20" t="s">
        <v>5</v>
      </c>
      <c r="C28" s="20" t="s">
        <v>6</v>
      </c>
      <c r="D28" s="20" t="s">
        <v>85</v>
      </c>
      <c r="F28" s="63">
        <v>1</v>
      </c>
      <c r="G28" s="64">
        <v>1</v>
      </c>
      <c r="H28" s="61">
        <f t="shared" si="0"/>
        <v>1</v>
      </c>
      <c r="I28" s="54" t="s">
        <v>100</v>
      </c>
    </row>
    <row r="29" spans="1:10" ht="63" x14ac:dyDescent="0.25">
      <c r="A29" s="46">
        <v>26</v>
      </c>
      <c r="B29" s="20" t="s">
        <v>5</v>
      </c>
      <c r="C29" s="20" t="s">
        <v>6</v>
      </c>
      <c r="D29" s="20" t="s">
        <v>86</v>
      </c>
      <c r="F29" s="63">
        <v>1</v>
      </c>
      <c r="G29" s="64">
        <v>1</v>
      </c>
      <c r="H29" s="61">
        <f t="shared" si="0"/>
        <v>1</v>
      </c>
      <c r="I29" s="54" t="s">
        <v>100</v>
      </c>
    </row>
    <row r="30" spans="1:10" ht="135" x14ac:dyDescent="0.25">
      <c r="A30" s="46">
        <v>27</v>
      </c>
      <c r="B30" s="20" t="s">
        <v>5</v>
      </c>
      <c r="C30" s="42" t="s">
        <v>7</v>
      </c>
      <c r="D30" s="20" t="s">
        <v>87</v>
      </c>
      <c r="F30" s="63">
        <v>1</v>
      </c>
      <c r="G30" s="64">
        <v>0.9</v>
      </c>
      <c r="H30" s="61">
        <f t="shared" si="0"/>
        <v>0.9</v>
      </c>
      <c r="I30" s="54" t="s">
        <v>262</v>
      </c>
    </row>
    <row r="31" spans="1:10" ht="90" x14ac:dyDescent="0.25">
      <c r="A31" s="46">
        <v>28</v>
      </c>
      <c r="B31" s="20" t="s">
        <v>5</v>
      </c>
      <c r="C31" s="42" t="s">
        <v>7</v>
      </c>
      <c r="D31" s="20" t="s">
        <v>88</v>
      </c>
      <c r="F31" s="63">
        <v>1</v>
      </c>
      <c r="G31" s="64">
        <v>0.93</v>
      </c>
      <c r="H31" s="61">
        <f t="shared" si="0"/>
        <v>0.93</v>
      </c>
      <c r="I31" s="54" t="s">
        <v>255</v>
      </c>
    </row>
    <row r="32" spans="1:10" ht="47.25" x14ac:dyDescent="0.25">
      <c r="A32" s="46">
        <v>29</v>
      </c>
      <c r="B32" s="20" t="s">
        <v>5</v>
      </c>
      <c r="C32" s="42" t="s">
        <v>7</v>
      </c>
      <c r="D32" s="20" t="s">
        <v>89</v>
      </c>
      <c r="F32" s="59">
        <v>1</v>
      </c>
      <c r="G32" s="60">
        <v>1</v>
      </c>
      <c r="H32" s="61">
        <f t="shared" si="0"/>
        <v>1</v>
      </c>
      <c r="I32" s="54" t="s">
        <v>100</v>
      </c>
    </row>
    <row r="33" spans="1:9" ht="110.25" x14ac:dyDescent="0.25">
      <c r="A33" s="46">
        <v>30</v>
      </c>
      <c r="B33" s="20" t="s">
        <v>5</v>
      </c>
      <c r="C33" s="42" t="s">
        <v>7</v>
      </c>
      <c r="D33" s="20" t="s">
        <v>90</v>
      </c>
      <c r="F33" s="59">
        <v>1</v>
      </c>
      <c r="G33" s="60">
        <v>0.5</v>
      </c>
      <c r="H33" s="61">
        <f t="shared" si="0"/>
        <v>0.5</v>
      </c>
      <c r="I33" s="54" t="s">
        <v>256</v>
      </c>
    </row>
    <row r="34" spans="1:9" s="36" customFormat="1" ht="94.5" customHeight="1" x14ac:dyDescent="0.25">
      <c r="A34" s="47">
        <v>31</v>
      </c>
      <c r="B34" s="35" t="s">
        <v>8</v>
      </c>
      <c r="C34" s="35" t="s">
        <v>9</v>
      </c>
      <c r="D34" s="44" t="s">
        <v>91</v>
      </c>
      <c r="F34" s="66">
        <v>1</v>
      </c>
      <c r="G34" s="67">
        <v>1</v>
      </c>
      <c r="H34" s="61">
        <f t="shared" si="0"/>
        <v>1</v>
      </c>
      <c r="I34" s="57" t="s">
        <v>100</v>
      </c>
    </row>
    <row r="35" spans="1:9" ht="78.75" x14ac:dyDescent="0.25">
      <c r="A35" s="46">
        <v>32</v>
      </c>
      <c r="B35" s="40" t="s">
        <v>8</v>
      </c>
      <c r="C35" s="40" t="s">
        <v>9</v>
      </c>
      <c r="D35" s="22" t="s">
        <v>92</v>
      </c>
      <c r="F35" s="59">
        <v>1</v>
      </c>
      <c r="G35" s="60">
        <v>1</v>
      </c>
      <c r="H35" s="61">
        <f t="shared" si="0"/>
        <v>1</v>
      </c>
      <c r="I35" s="57" t="s">
        <v>100</v>
      </c>
    </row>
    <row r="36" spans="1:9" ht="47.25" x14ac:dyDescent="0.25">
      <c r="A36" s="46">
        <v>33</v>
      </c>
      <c r="B36" s="40" t="s">
        <v>8</v>
      </c>
      <c r="C36" s="40" t="s">
        <v>9</v>
      </c>
      <c r="D36" s="20" t="s">
        <v>93</v>
      </c>
      <c r="F36" s="59">
        <v>1</v>
      </c>
      <c r="G36" s="60">
        <v>1</v>
      </c>
      <c r="H36" s="61">
        <f t="shared" si="0"/>
        <v>1</v>
      </c>
      <c r="I36" s="57" t="s">
        <v>100</v>
      </c>
    </row>
    <row r="37" spans="1:9" ht="94.5" x14ac:dyDescent="0.25">
      <c r="A37" s="46">
        <v>34</v>
      </c>
      <c r="B37" s="40" t="s">
        <v>8</v>
      </c>
      <c r="C37" s="40" t="s">
        <v>9</v>
      </c>
      <c r="D37" s="20" t="s">
        <v>94</v>
      </c>
      <c r="F37" s="59">
        <v>1</v>
      </c>
      <c r="G37" s="60">
        <v>1</v>
      </c>
      <c r="H37" s="61">
        <f t="shared" si="0"/>
        <v>1</v>
      </c>
      <c r="I37" s="57" t="s">
        <v>100</v>
      </c>
    </row>
    <row r="38" spans="1:9" ht="63" x14ac:dyDescent="0.25">
      <c r="A38" s="46">
        <v>35</v>
      </c>
      <c r="B38" s="40" t="s">
        <v>8</v>
      </c>
      <c r="C38" s="40" t="s">
        <v>9</v>
      </c>
      <c r="D38" s="20" t="s">
        <v>95</v>
      </c>
      <c r="F38" s="59">
        <v>1</v>
      </c>
      <c r="G38" s="60">
        <v>1</v>
      </c>
      <c r="H38" s="61">
        <f t="shared" si="0"/>
        <v>1</v>
      </c>
      <c r="I38" s="57" t="s">
        <v>100</v>
      </c>
    </row>
    <row r="39" spans="1:9" ht="94.5" x14ac:dyDescent="0.25">
      <c r="A39" s="46">
        <v>36</v>
      </c>
      <c r="B39" s="40" t="s">
        <v>8</v>
      </c>
      <c r="C39" s="40" t="s">
        <v>9</v>
      </c>
      <c r="D39" s="20" t="s">
        <v>96</v>
      </c>
      <c r="F39" s="59">
        <v>1</v>
      </c>
      <c r="G39" s="60">
        <v>1</v>
      </c>
      <c r="H39" s="61">
        <f t="shared" si="0"/>
        <v>1</v>
      </c>
      <c r="I39" s="57" t="s">
        <v>100</v>
      </c>
    </row>
    <row r="40" spans="1:9" ht="47.25" x14ac:dyDescent="0.25">
      <c r="A40" s="46">
        <v>37</v>
      </c>
      <c r="B40" s="40" t="s">
        <v>8</v>
      </c>
      <c r="C40" s="40" t="s">
        <v>9</v>
      </c>
      <c r="D40" s="20" t="s">
        <v>97</v>
      </c>
      <c r="F40" s="59">
        <v>1</v>
      </c>
      <c r="G40" s="60">
        <v>1</v>
      </c>
      <c r="H40" s="61">
        <f t="shared" si="0"/>
        <v>1</v>
      </c>
      <c r="I40" s="57" t="s">
        <v>100</v>
      </c>
    </row>
    <row r="41" spans="1:9" s="36" customFormat="1" ht="123" customHeight="1" x14ac:dyDescent="0.25">
      <c r="A41" s="47">
        <v>38</v>
      </c>
      <c r="B41" s="35" t="s">
        <v>8</v>
      </c>
      <c r="C41" s="35" t="s">
        <v>9</v>
      </c>
      <c r="D41" s="35" t="s">
        <v>98</v>
      </c>
      <c r="F41" s="66">
        <v>1</v>
      </c>
      <c r="G41" s="67">
        <v>0.95</v>
      </c>
      <c r="H41" s="61">
        <f t="shared" si="0"/>
        <v>0.95</v>
      </c>
      <c r="I41" s="57" t="s">
        <v>183</v>
      </c>
    </row>
    <row r="42" spans="1:9" s="36" customFormat="1" ht="192.75" customHeight="1" x14ac:dyDescent="0.25">
      <c r="A42" s="47">
        <v>39</v>
      </c>
      <c r="B42" s="20" t="s">
        <v>10</v>
      </c>
      <c r="C42" s="20" t="s">
        <v>28</v>
      </c>
      <c r="D42" s="35" t="s">
        <v>52</v>
      </c>
      <c r="F42" s="66">
        <v>1</v>
      </c>
      <c r="G42" s="67">
        <v>1</v>
      </c>
      <c r="H42" s="61">
        <f t="shared" si="0"/>
        <v>1</v>
      </c>
      <c r="I42" s="57" t="s">
        <v>100</v>
      </c>
    </row>
    <row r="43" spans="1:9" ht="125.25" customHeight="1" x14ac:dyDescent="0.25">
      <c r="A43" s="46">
        <v>40</v>
      </c>
      <c r="B43" s="20" t="s">
        <v>10</v>
      </c>
      <c r="C43" s="20" t="s">
        <v>27</v>
      </c>
      <c r="D43" s="20" t="s">
        <v>53</v>
      </c>
      <c r="F43" s="59">
        <v>1</v>
      </c>
      <c r="G43" s="60">
        <v>1</v>
      </c>
      <c r="H43" s="61">
        <f t="shared" si="0"/>
        <v>1</v>
      </c>
      <c r="I43" s="54" t="s">
        <v>100</v>
      </c>
    </row>
    <row r="44" spans="1:9" ht="165" x14ac:dyDescent="0.25">
      <c r="A44" s="46">
        <v>41</v>
      </c>
      <c r="B44" s="20" t="s">
        <v>10</v>
      </c>
      <c r="C44" s="20" t="s">
        <v>27</v>
      </c>
      <c r="D44" s="20" t="s">
        <v>99</v>
      </c>
      <c r="F44" s="59">
        <v>1</v>
      </c>
      <c r="G44" s="60">
        <v>0.85</v>
      </c>
      <c r="H44" s="61">
        <f t="shared" si="0"/>
        <v>0.85</v>
      </c>
      <c r="I44" s="54" t="s">
        <v>136</v>
      </c>
    </row>
    <row r="45" spans="1:9" ht="126.75" customHeight="1" x14ac:dyDescent="0.25">
      <c r="A45" s="46">
        <v>42</v>
      </c>
      <c r="B45" s="20" t="s">
        <v>10</v>
      </c>
      <c r="C45" s="20" t="s">
        <v>10</v>
      </c>
      <c r="D45" s="20" t="s">
        <v>54</v>
      </c>
      <c r="F45" s="59">
        <v>1</v>
      </c>
      <c r="G45" s="60">
        <v>0.85</v>
      </c>
      <c r="H45" s="61">
        <f t="shared" si="0"/>
        <v>0.85</v>
      </c>
      <c r="I45" s="54" t="s">
        <v>161</v>
      </c>
    </row>
    <row r="46" spans="1:9" ht="240.75" customHeight="1" x14ac:dyDescent="0.25">
      <c r="A46" s="46">
        <v>43</v>
      </c>
      <c r="B46" s="20" t="s">
        <v>10</v>
      </c>
      <c r="C46" s="20" t="s">
        <v>29</v>
      </c>
      <c r="D46" s="20" t="s">
        <v>55</v>
      </c>
      <c r="F46" s="59">
        <v>1</v>
      </c>
      <c r="G46" s="60">
        <v>0.85</v>
      </c>
      <c r="H46" s="61">
        <f t="shared" si="0"/>
        <v>0.85</v>
      </c>
      <c r="I46" s="56" t="s">
        <v>122</v>
      </c>
    </row>
    <row r="47" spans="1:9" s="41" customFormat="1" ht="300" x14ac:dyDescent="0.25">
      <c r="A47" s="45">
        <v>44</v>
      </c>
      <c r="B47" s="20" t="s">
        <v>10</v>
      </c>
      <c r="C47" s="20" t="s">
        <v>10</v>
      </c>
      <c r="D47" s="35" t="s">
        <v>56</v>
      </c>
      <c r="F47" s="63">
        <v>1</v>
      </c>
      <c r="G47" s="64">
        <v>0.8</v>
      </c>
      <c r="H47" s="61">
        <f t="shared" si="0"/>
        <v>0.8</v>
      </c>
      <c r="I47" s="65" t="s">
        <v>163</v>
      </c>
    </row>
    <row r="48" spans="1:9" ht="110.25" x14ac:dyDescent="0.25">
      <c r="A48" s="46">
        <v>45</v>
      </c>
      <c r="B48" s="20" t="s">
        <v>10</v>
      </c>
      <c r="C48" s="20" t="s">
        <v>10</v>
      </c>
      <c r="D48" s="20" t="s">
        <v>57</v>
      </c>
      <c r="F48" s="59">
        <v>1</v>
      </c>
      <c r="G48" s="60">
        <v>0.98</v>
      </c>
      <c r="H48" s="61">
        <f t="shared" si="0"/>
        <v>0.98</v>
      </c>
      <c r="I48" s="55" t="s">
        <v>101</v>
      </c>
    </row>
    <row r="49" spans="1:9" ht="195" x14ac:dyDescent="0.25">
      <c r="A49" s="46">
        <v>46</v>
      </c>
      <c r="B49" s="20" t="s">
        <v>10</v>
      </c>
      <c r="C49" s="20" t="s">
        <v>10</v>
      </c>
      <c r="D49" s="20" t="s">
        <v>58</v>
      </c>
      <c r="F49" s="59">
        <v>1</v>
      </c>
      <c r="G49" s="60">
        <v>0.93</v>
      </c>
      <c r="H49" s="61">
        <f t="shared" si="0"/>
        <v>0.93</v>
      </c>
      <c r="I49" s="57" t="s">
        <v>104</v>
      </c>
    </row>
    <row r="50" spans="1:9" s="36" customFormat="1" ht="90.75" customHeight="1" x14ac:dyDescent="0.25">
      <c r="A50" s="47">
        <v>47</v>
      </c>
      <c r="B50" s="35" t="s">
        <v>10</v>
      </c>
      <c r="C50" s="35" t="s">
        <v>10</v>
      </c>
      <c r="D50" s="35" t="s">
        <v>59</v>
      </c>
      <c r="F50" s="66">
        <v>1</v>
      </c>
      <c r="G50" s="67">
        <v>0.95</v>
      </c>
      <c r="H50" s="61">
        <f t="shared" si="0"/>
        <v>0.95</v>
      </c>
      <c r="I50" s="58" t="s">
        <v>151</v>
      </c>
    </row>
    <row r="51" spans="1:9" ht="142.5" customHeight="1" x14ac:dyDescent="0.25">
      <c r="A51" s="46">
        <v>48</v>
      </c>
      <c r="B51" s="20" t="s">
        <v>10</v>
      </c>
      <c r="C51" s="20" t="s">
        <v>10</v>
      </c>
      <c r="D51" s="20" t="s">
        <v>60</v>
      </c>
      <c r="F51" s="59">
        <v>1</v>
      </c>
      <c r="G51" s="60">
        <v>1</v>
      </c>
      <c r="H51" s="61">
        <f t="shared" si="0"/>
        <v>1</v>
      </c>
      <c r="I51" s="54" t="s">
        <v>100</v>
      </c>
    </row>
    <row r="52" spans="1:9" x14ac:dyDescent="0.25">
      <c r="H52" s="52"/>
      <c r="I52" s="1"/>
    </row>
    <row r="53" spans="1:9" x14ac:dyDescent="0.25">
      <c r="I53" s="1"/>
    </row>
    <row r="54" spans="1:9" x14ac:dyDescent="0.25">
      <c r="I54" s="1"/>
    </row>
  </sheetData>
  <mergeCells count="2">
    <mergeCell ref="B2:D2"/>
    <mergeCell ref="F2:I2"/>
  </mergeCells>
  <pageMargins left="0.511811024" right="0.511811024" top="0.78740157499999996" bottom="0.78740157499999996" header="0.31496062000000002" footer="0.31496062000000002"/>
  <pageSetup paperSize="9" orientation="portrait" horizontalDpi="200"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2"/>
  <sheetViews>
    <sheetView tabSelected="1" zoomScaleNormal="100" workbookViewId="0">
      <pane xSplit="4" ySplit="3" topLeftCell="E41" activePane="bottomRight" state="frozen"/>
      <selection pane="topRight" activeCell="E1" sqref="E1"/>
      <selection pane="bottomLeft" activeCell="A4" sqref="A4"/>
      <selection pane="bottomRight" activeCell="D55" sqref="D55"/>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94.5" x14ac:dyDescent="0.25">
      <c r="A4" s="45">
        <v>1</v>
      </c>
      <c r="B4" s="40" t="s">
        <v>3</v>
      </c>
      <c r="C4" s="40" t="s">
        <v>4</v>
      </c>
      <c r="D4" s="40" t="s">
        <v>61</v>
      </c>
      <c r="F4" s="63">
        <v>1</v>
      </c>
      <c r="G4" s="64">
        <v>0.97</v>
      </c>
      <c r="H4" s="61">
        <f>F4*G4</f>
        <v>0.97</v>
      </c>
      <c r="I4" s="65" t="s">
        <v>337</v>
      </c>
    </row>
    <row r="5" spans="1:9" ht="330" x14ac:dyDescent="0.25">
      <c r="A5" s="46">
        <v>2</v>
      </c>
      <c r="B5" s="20" t="s">
        <v>3</v>
      </c>
      <c r="C5" s="20" t="s">
        <v>4</v>
      </c>
      <c r="D5" s="20" t="s">
        <v>62</v>
      </c>
      <c r="F5" s="59">
        <v>1</v>
      </c>
      <c r="G5" s="60">
        <v>0.87</v>
      </c>
      <c r="H5" s="61">
        <f t="shared" ref="H5:H51" si="0">F5*G5</f>
        <v>0.87</v>
      </c>
      <c r="I5" s="54" t="s">
        <v>416</v>
      </c>
    </row>
    <row r="6" spans="1:9" ht="409.5" x14ac:dyDescent="0.25">
      <c r="A6" s="46">
        <v>3</v>
      </c>
      <c r="B6" s="20" t="s">
        <v>3</v>
      </c>
      <c r="C6" s="20" t="s">
        <v>4</v>
      </c>
      <c r="D6" s="20" t="s">
        <v>63</v>
      </c>
      <c r="F6" s="63">
        <v>1</v>
      </c>
      <c r="G6" s="64">
        <v>0.78</v>
      </c>
      <c r="H6" s="61">
        <f t="shared" si="0"/>
        <v>0.78</v>
      </c>
      <c r="I6" s="54" t="s">
        <v>417</v>
      </c>
    </row>
    <row r="7" spans="1:9" ht="345" x14ac:dyDescent="0.25">
      <c r="A7" s="46">
        <v>4</v>
      </c>
      <c r="B7" s="20" t="s">
        <v>3</v>
      </c>
      <c r="C7" s="20" t="s">
        <v>4</v>
      </c>
      <c r="D7" s="20" t="s">
        <v>64</v>
      </c>
      <c r="F7" s="63">
        <v>1</v>
      </c>
      <c r="G7" s="64">
        <v>0.9</v>
      </c>
      <c r="H7" s="61">
        <f t="shared" si="0"/>
        <v>0.9</v>
      </c>
      <c r="I7" s="54" t="s">
        <v>340</v>
      </c>
    </row>
    <row r="8" spans="1:9" ht="409.5" x14ac:dyDescent="0.25">
      <c r="A8" s="46">
        <v>5</v>
      </c>
      <c r="B8" s="20" t="s">
        <v>3</v>
      </c>
      <c r="C8" s="20" t="s">
        <v>4</v>
      </c>
      <c r="D8" s="20" t="s">
        <v>65</v>
      </c>
      <c r="F8" s="63">
        <v>1</v>
      </c>
      <c r="G8" s="64">
        <v>0.74</v>
      </c>
      <c r="H8" s="61">
        <f t="shared" si="0"/>
        <v>0.74</v>
      </c>
      <c r="I8" s="54" t="s">
        <v>418</v>
      </c>
    </row>
    <row r="9" spans="1:9" s="36" customFormat="1" ht="409.5" x14ac:dyDescent="0.25">
      <c r="A9" s="47">
        <v>6</v>
      </c>
      <c r="B9" s="35" t="s">
        <v>3</v>
      </c>
      <c r="C9" s="35" t="s">
        <v>4</v>
      </c>
      <c r="D9" s="35" t="s">
        <v>66</v>
      </c>
      <c r="F9" s="63">
        <v>1</v>
      </c>
      <c r="G9" s="64">
        <v>0.71</v>
      </c>
      <c r="H9" s="61">
        <f t="shared" si="0"/>
        <v>0.71</v>
      </c>
      <c r="I9" s="58" t="s">
        <v>419</v>
      </c>
    </row>
    <row r="10" spans="1:9" ht="150" x14ac:dyDescent="0.25">
      <c r="A10" s="46">
        <v>7</v>
      </c>
      <c r="B10" s="20" t="s">
        <v>3</v>
      </c>
      <c r="C10" s="20" t="s">
        <v>4</v>
      </c>
      <c r="D10" s="20" t="s">
        <v>67</v>
      </c>
      <c r="F10" s="63">
        <v>1</v>
      </c>
      <c r="G10" s="64">
        <v>0.82</v>
      </c>
      <c r="H10" s="61">
        <f t="shared" si="0"/>
        <v>0.82</v>
      </c>
      <c r="I10" s="54" t="s">
        <v>420</v>
      </c>
    </row>
    <row r="11" spans="1:9" ht="405" x14ac:dyDescent="0.25">
      <c r="A11" s="46">
        <v>8</v>
      </c>
      <c r="B11" s="20" t="s">
        <v>3</v>
      </c>
      <c r="C11" s="20" t="s">
        <v>4</v>
      </c>
      <c r="D11" s="20" t="s">
        <v>68</v>
      </c>
      <c r="F11" s="63">
        <v>1</v>
      </c>
      <c r="G11" s="64">
        <v>0.83</v>
      </c>
      <c r="H11" s="61">
        <f t="shared" si="0"/>
        <v>0.83</v>
      </c>
      <c r="I11" s="55" t="s">
        <v>421</v>
      </c>
    </row>
    <row r="12" spans="1:9" ht="390" x14ac:dyDescent="0.25">
      <c r="A12" s="46">
        <v>9</v>
      </c>
      <c r="B12" s="20" t="s">
        <v>3</v>
      </c>
      <c r="C12" s="20" t="s">
        <v>4</v>
      </c>
      <c r="D12" s="20" t="s">
        <v>69</v>
      </c>
      <c r="F12" s="63">
        <v>1</v>
      </c>
      <c r="G12" s="64">
        <v>0.64</v>
      </c>
      <c r="H12" s="61">
        <f t="shared" si="0"/>
        <v>0.64</v>
      </c>
      <c r="I12" s="54" t="s">
        <v>422</v>
      </c>
    </row>
    <row r="13" spans="1:9" s="36" customFormat="1" ht="126" x14ac:dyDescent="0.25">
      <c r="A13" s="47">
        <v>10</v>
      </c>
      <c r="B13" s="35" t="s">
        <v>3</v>
      </c>
      <c r="C13" s="20" t="s">
        <v>4</v>
      </c>
      <c r="D13" s="35" t="s">
        <v>70</v>
      </c>
      <c r="F13" s="63">
        <v>1</v>
      </c>
      <c r="G13" s="64">
        <v>0.97</v>
      </c>
      <c r="H13" s="61">
        <f t="shared" si="0"/>
        <v>0.97</v>
      </c>
      <c r="I13" s="57" t="s">
        <v>380</v>
      </c>
    </row>
    <row r="14" spans="1:9" ht="135" x14ac:dyDescent="0.25">
      <c r="A14" s="46">
        <v>11</v>
      </c>
      <c r="B14" s="20" t="s">
        <v>25</v>
      </c>
      <c r="C14" s="20" t="s">
        <v>26</v>
      </c>
      <c r="D14" s="20" t="s">
        <v>71</v>
      </c>
      <c r="F14" s="63">
        <v>1</v>
      </c>
      <c r="G14" s="64">
        <v>0.98</v>
      </c>
      <c r="H14" s="61">
        <f t="shared" si="0"/>
        <v>0.98</v>
      </c>
      <c r="I14" s="54" t="s">
        <v>277</v>
      </c>
    </row>
    <row r="15" spans="1:9" ht="300" x14ac:dyDescent="0.25">
      <c r="A15" s="46">
        <v>12</v>
      </c>
      <c r="B15" s="20" t="s">
        <v>25</v>
      </c>
      <c r="C15" s="20" t="s">
        <v>26</v>
      </c>
      <c r="D15" s="20" t="s">
        <v>72</v>
      </c>
      <c r="F15" s="63">
        <v>1</v>
      </c>
      <c r="G15" s="64">
        <v>0.75</v>
      </c>
      <c r="H15" s="61">
        <f t="shared" si="0"/>
        <v>0.75</v>
      </c>
      <c r="I15" s="54" t="s">
        <v>278</v>
      </c>
    </row>
    <row r="16" spans="1:9" s="36" customFormat="1" ht="94.5" x14ac:dyDescent="0.25">
      <c r="A16" s="47">
        <v>13</v>
      </c>
      <c r="B16" s="35" t="s">
        <v>25</v>
      </c>
      <c r="C16" s="35" t="s">
        <v>26</v>
      </c>
      <c r="D16" s="35" t="s">
        <v>73</v>
      </c>
      <c r="F16" s="63">
        <v>1</v>
      </c>
      <c r="G16" s="64">
        <v>0.96</v>
      </c>
      <c r="H16" s="61">
        <f t="shared" si="0"/>
        <v>0.96</v>
      </c>
      <c r="I16" s="57" t="s">
        <v>279</v>
      </c>
    </row>
    <row r="17" spans="1:10" ht="63" x14ac:dyDescent="0.25">
      <c r="A17" s="46">
        <v>14</v>
      </c>
      <c r="B17" s="20" t="s">
        <v>25</v>
      </c>
      <c r="C17" s="20" t="s">
        <v>26</v>
      </c>
      <c r="D17" s="20" t="s">
        <v>74</v>
      </c>
      <c r="F17" s="63">
        <v>1</v>
      </c>
      <c r="G17" s="64">
        <v>1</v>
      </c>
      <c r="H17" s="61">
        <f t="shared" si="0"/>
        <v>1</v>
      </c>
      <c r="I17" s="54" t="s">
        <v>100</v>
      </c>
    </row>
    <row r="18" spans="1:10" ht="110.25" x14ac:dyDescent="0.25">
      <c r="A18" s="46">
        <v>15</v>
      </c>
      <c r="B18" s="20" t="s">
        <v>25</v>
      </c>
      <c r="C18" s="20" t="s">
        <v>26</v>
      </c>
      <c r="D18" s="20" t="s">
        <v>75</v>
      </c>
      <c r="F18" s="63">
        <v>1</v>
      </c>
      <c r="G18" s="64">
        <v>0.9</v>
      </c>
      <c r="H18" s="61">
        <f t="shared" si="0"/>
        <v>0.9</v>
      </c>
      <c r="I18" s="54" t="s">
        <v>280</v>
      </c>
    </row>
    <row r="19" spans="1:10" ht="47.25" x14ac:dyDescent="0.25">
      <c r="A19" s="46">
        <v>16</v>
      </c>
      <c r="B19" s="20" t="s">
        <v>5</v>
      </c>
      <c r="C19" s="40" t="s">
        <v>6</v>
      </c>
      <c r="D19" s="20" t="s">
        <v>76</v>
      </c>
      <c r="F19" s="63">
        <v>1</v>
      </c>
      <c r="G19" s="64">
        <v>1</v>
      </c>
      <c r="H19" s="61">
        <f t="shared" si="0"/>
        <v>1</v>
      </c>
      <c r="I19" s="54" t="s">
        <v>100</v>
      </c>
    </row>
    <row r="20" spans="1:10" ht="240" x14ac:dyDescent="0.25">
      <c r="A20" s="46">
        <v>17</v>
      </c>
      <c r="B20" s="20" t="s">
        <v>5</v>
      </c>
      <c r="C20" s="40" t="s">
        <v>6</v>
      </c>
      <c r="D20" s="20" t="s">
        <v>77</v>
      </c>
      <c r="F20" s="63">
        <v>1</v>
      </c>
      <c r="G20" s="64">
        <v>0.7</v>
      </c>
      <c r="H20" s="61">
        <f t="shared" si="0"/>
        <v>0.7</v>
      </c>
      <c r="I20" s="54" t="s">
        <v>281</v>
      </c>
    </row>
    <row r="21" spans="1:10" s="36" customFormat="1" ht="210" x14ac:dyDescent="0.25">
      <c r="A21" s="47">
        <v>18</v>
      </c>
      <c r="B21" s="35" t="s">
        <v>5</v>
      </c>
      <c r="C21" s="40" t="s">
        <v>6</v>
      </c>
      <c r="D21" s="35" t="s">
        <v>78</v>
      </c>
      <c r="F21" s="63">
        <v>1</v>
      </c>
      <c r="G21" s="64">
        <v>0.9</v>
      </c>
      <c r="H21" s="61">
        <f t="shared" si="0"/>
        <v>0.9</v>
      </c>
      <c r="I21" s="57" t="s">
        <v>275</v>
      </c>
    </row>
    <row r="22" spans="1:10" ht="180" x14ac:dyDescent="0.25">
      <c r="A22" s="46">
        <v>19</v>
      </c>
      <c r="B22" s="20" t="s">
        <v>5</v>
      </c>
      <c r="C22" s="40" t="s">
        <v>6</v>
      </c>
      <c r="D22" s="20" t="s">
        <v>79</v>
      </c>
      <c r="F22" s="63">
        <v>1</v>
      </c>
      <c r="G22" s="64">
        <v>0.86</v>
      </c>
      <c r="H22" s="61">
        <f t="shared" si="0"/>
        <v>0.86</v>
      </c>
      <c r="I22" s="54" t="s">
        <v>282</v>
      </c>
    </row>
    <row r="23" spans="1:10" ht="78.75" x14ac:dyDescent="0.25">
      <c r="A23" s="46">
        <v>20</v>
      </c>
      <c r="B23" s="20" t="s">
        <v>5</v>
      </c>
      <c r="C23" s="40" t="s">
        <v>6</v>
      </c>
      <c r="D23" s="20" t="s">
        <v>80</v>
      </c>
      <c r="F23" s="63">
        <v>1</v>
      </c>
      <c r="G23" s="64">
        <v>1</v>
      </c>
      <c r="H23" s="61">
        <f t="shared" si="0"/>
        <v>1</v>
      </c>
      <c r="I23" s="57" t="s">
        <v>100</v>
      </c>
    </row>
    <row r="24" spans="1:10" ht="141.75" x14ac:dyDescent="0.25">
      <c r="A24" s="46">
        <v>21</v>
      </c>
      <c r="B24" s="20" t="s">
        <v>5</v>
      </c>
      <c r="C24" s="40" t="s">
        <v>6</v>
      </c>
      <c r="D24" s="20" t="s">
        <v>81</v>
      </c>
      <c r="F24" s="63">
        <v>1</v>
      </c>
      <c r="G24" s="64">
        <v>0.9</v>
      </c>
      <c r="H24" s="61">
        <f t="shared" si="0"/>
        <v>0.9</v>
      </c>
      <c r="I24" s="54" t="s">
        <v>283</v>
      </c>
      <c r="J24" s="1" t="s">
        <v>24</v>
      </c>
    </row>
    <row r="25" spans="1:10" s="34" customFormat="1" ht="150" customHeight="1" x14ac:dyDescent="0.25">
      <c r="A25" s="47">
        <v>22</v>
      </c>
      <c r="B25" s="35" t="s">
        <v>5</v>
      </c>
      <c r="C25" s="35" t="s">
        <v>6</v>
      </c>
      <c r="D25" s="35" t="s">
        <v>82</v>
      </c>
      <c r="F25" s="63">
        <v>1</v>
      </c>
      <c r="G25" s="64">
        <v>1</v>
      </c>
      <c r="H25" s="61">
        <f t="shared" si="0"/>
        <v>1</v>
      </c>
      <c r="I25" s="58" t="s">
        <v>100</v>
      </c>
    </row>
    <row r="26" spans="1:10" ht="173.25" x14ac:dyDescent="0.25">
      <c r="A26" s="46">
        <v>23</v>
      </c>
      <c r="B26" s="20" t="s">
        <v>5</v>
      </c>
      <c r="C26" s="20" t="s">
        <v>6</v>
      </c>
      <c r="D26" s="20" t="s">
        <v>83</v>
      </c>
      <c r="F26" s="63">
        <v>1</v>
      </c>
      <c r="G26" s="64">
        <v>1</v>
      </c>
      <c r="H26" s="61">
        <f t="shared" si="0"/>
        <v>1</v>
      </c>
      <c r="I26" s="54" t="s">
        <v>100</v>
      </c>
    </row>
    <row r="27" spans="1:10" ht="47.25" x14ac:dyDescent="0.25">
      <c r="A27" s="46">
        <v>24</v>
      </c>
      <c r="B27" s="20" t="s">
        <v>5</v>
      </c>
      <c r="C27" s="20" t="s">
        <v>6</v>
      </c>
      <c r="D27" s="20" t="s">
        <v>84</v>
      </c>
      <c r="F27" s="63">
        <v>1</v>
      </c>
      <c r="G27" s="64">
        <v>1</v>
      </c>
      <c r="H27" s="61">
        <f t="shared" si="0"/>
        <v>1</v>
      </c>
      <c r="I27" s="54" t="s">
        <v>100</v>
      </c>
    </row>
    <row r="28" spans="1:10" ht="94.5" x14ac:dyDescent="0.25">
      <c r="A28" s="46">
        <v>25</v>
      </c>
      <c r="B28" s="20" t="s">
        <v>5</v>
      </c>
      <c r="C28" s="20" t="s">
        <v>6</v>
      </c>
      <c r="D28" s="20" t="s">
        <v>85</v>
      </c>
      <c r="F28" s="63">
        <v>1</v>
      </c>
      <c r="G28" s="64">
        <v>1</v>
      </c>
      <c r="H28" s="61">
        <f t="shared" si="0"/>
        <v>1</v>
      </c>
      <c r="I28" s="54" t="s">
        <v>100</v>
      </c>
    </row>
    <row r="29" spans="1:10" ht="63" x14ac:dyDescent="0.25">
      <c r="A29" s="46">
        <v>26</v>
      </c>
      <c r="B29" s="20" t="s">
        <v>5</v>
      </c>
      <c r="C29" s="20" t="s">
        <v>6</v>
      </c>
      <c r="D29" s="20" t="s">
        <v>86</v>
      </c>
      <c r="F29" s="63">
        <v>1</v>
      </c>
      <c r="G29" s="64">
        <v>1</v>
      </c>
      <c r="H29" s="61">
        <f t="shared" si="0"/>
        <v>1</v>
      </c>
      <c r="I29" s="54" t="s">
        <v>100</v>
      </c>
    </row>
    <row r="30" spans="1:10" ht="150" x14ac:dyDescent="0.25">
      <c r="A30" s="46">
        <v>27</v>
      </c>
      <c r="B30" s="20" t="s">
        <v>5</v>
      </c>
      <c r="C30" s="42" t="s">
        <v>7</v>
      </c>
      <c r="D30" s="20" t="s">
        <v>87</v>
      </c>
      <c r="F30" s="63">
        <v>1</v>
      </c>
      <c r="G30" s="64">
        <v>0.9</v>
      </c>
      <c r="H30" s="61">
        <f t="shared" si="0"/>
        <v>0.9</v>
      </c>
      <c r="I30" s="54" t="s">
        <v>239</v>
      </c>
    </row>
    <row r="31" spans="1:10" ht="90" x14ac:dyDescent="0.25">
      <c r="A31" s="46">
        <v>28</v>
      </c>
      <c r="B31" s="20" t="s">
        <v>5</v>
      </c>
      <c r="C31" s="42" t="s">
        <v>7</v>
      </c>
      <c r="D31" s="20" t="s">
        <v>88</v>
      </c>
      <c r="F31" s="63">
        <v>1</v>
      </c>
      <c r="G31" s="64">
        <v>0.93</v>
      </c>
      <c r="H31" s="61">
        <f t="shared" si="0"/>
        <v>0.93</v>
      </c>
      <c r="I31" s="54" t="s">
        <v>255</v>
      </c>
    </row>
    <row r="32" spans="1:10" ht="47.25" x14ac:dyDescent="0.25">
      <c r="A32" s="46">
        <v>29</v>
      </c>
      <c r="B32" s="20" t="s">
        <v>5</v>
      </c>
      <c r="C32" s="42" t="s">
        <v>7</v>
      </c>
      <c r="D32" s="20" t="s">
        <v>89</v>
      </c>
      <c r="F32" s="59">
        <v>1</v>
      </c>
      <c r="G32" s="60">
        <v>1</v>
      </c>
      <c r="H32" s="61">
        <f t="shared" si="0"/>
        <v>1</v>
      </c>
      <c r="I32" s="54" t="s">
        <v>100</v>
      </c>
    </row>
    <row r="33" spans="1:9" ht="110.25" x14ac:dyDescent="0.25">
      <c r="A33" s="46">
        <v>30</v>
      </c>
      <c r="B33" s="20" t="s">
        <v>5</v>
      </c>
      <c r="C33" s="42" t="s">
        <v>7</v>
      </c>
      <c r="D33" s="20" t="s">
        <v>90</v>
      </c>
      <c r="F33" s="59">
        <v>1</v>
      </c>
      <c r="G33" s="60">
        <v>0.5</v>
      </c>
      <c r="H33" s="61">
        <f t="shared" si="0"/>
        <v>0.5</v>
      </c>
      <c r="I33" s="54" t="s">
        <v>205</v>
      </c>
    </row>
    <row r="34" spans="1:9" s="36" customFormat="1" ht="94.5" customHeight="1" x14ac:dyDescent="0.25">
      <c r="A34" s="47">
        <v>31</v>
      </c>
      <c r="B34" s="35" t="s">
        <v>8</v>
      </c>
      <c r="C34" s="35" t="s">
        <v>9</v>
      </c>
      <c r="D34" s="44" t="s">
        <v>91</v>
      </c>
      <c r="F34" s="66">
        <v>1</v>
      </c>
      <c r="G34" s="67">
        <v>0.95</v>
      </c>
      <c r="H34" s="61">
        <f t="shared" si="0"/>
        <v>0.95</v>
      </c>
      <c r="I34" s="57" t="s">
        <v>185</v>
      </c>
    </row>
    <row r="35" spans="1:9" ht="78.75" x14ac:dyDescent="0.25">
      <c r="A35" s="46">
        <v>32</v>
      </c>
      <c r="B35" s="40" t="s">
        <v>8</v>
      </c>
      <c r="C35" s="40" t="s">
        <v>9</v>
      </c>
      <c r="D35" s="22" t="s">
        <v>92</v>
      </c>
      <c r="F35" s="59">
        <v>1</v>
      </c>
      <c r="G35" s="60">
        <v>1</v>
      </c>
      <c r="H35" s="61">
        <f t="shared" si="0"/>
        <v>1</v>
      </c>
      <c r="I35" s="57" t="s">
        <v>100</v>
      </c>
    </row>
    <row r="36" spans="1:9" ht="47.25" x14ac:dyDescent="0.25">
      <c r="A36" s="46">
        <v>33</v>
      </c>
      <c r="B36" s="40" t="s">
        <v>8</v>
      </c>
      <c r="C36" s="40" t="s">
        <v>9</v>
      </c>
      <c r="D36" s="20" t="s">
        <v>93</v>
      </c>
      <c r="F36" s="59">
        <v>1</v>
      </c>
      <c r="G36" s="60">
        <v>1</v>
      </c>
      <c r="H36" s="61">
        <f t="shared" si="0"/>
        <v>1</v>
      </c>
      <c r="I36" s="57" t="s">
        <v>100</v>
      </c>
    </row>
    <row r="37" spans="1:9" ht="94.5" x14ac:dyDescent="0.25">
      <c r="A37" s="46">
        <v>34</v>
      </c>
      <c r="B37" s="40" t="s">
        <v>8</v>
      </c>
      <c r="C37" s="40" t="s">
        <v>9</v>
      </c>
      <c r="D37" s="20" t="s">
        <v>94</v>
      </c>
      <c r="F37" s="59">
        <v>1</v>
      </c>
      <c r="G37" s="60">
        <v>1</v>
      </c>
      <c r="H37" s="61">
        <f t="shared" si="0"/>
        <v>1</v>
      </c>
      <c r="I37" s="57" t="s">
        <v>100</v>
      </c>
    </row>
    <row r="38" spans="1:9" ht="63" x14ac:dyDescent="0.25">
      <c r="A38" s="46">
        <v>35</v>
      </c>
      <c r="B38" s="40" t="s">
        <v>8</v>
      </c>
      <c r="C38" s="40" t="s">
        <v>9</v>
      </c>
      <c r="D38" s="20" t="s">
        <v>95</v>
      </c>
      <c r="F38" s="59">
        <v>1</v>
      </c>
      <c r="G38" s="60">
        <v>1</v>
      </c>
      <c r="H38" s="61">
        <f t="shared" si="0"/>
        <v>1</v>
      </c>
      <c r="I38" s="57" t="s">
        <v>100</v>
      </c>
    </row>
    <row r="39" spans="1:9" ht="94.5" x14ac:dyDescent="0.25">
      <c r="A39" s="46">
        <v>36</v>
      </c>
      <c r="B39" s="40" t="s">
        <v>8</v>
      </c>
      <c r="C39" s="40" t="s">
        <v>9</v>
      </c>
      <c r="D39" s="20" t="s">
        <v>96</v>
      </c>
      <c r="F39" s="59">
        <v>1</v>
      </c>
      <c r="G39" s="60">
        <v>1</v>
      </c>
      <c r="H39" s="61">
        <f t="shared" si="0"/>
        <v>1</v>
      </c>
      <c r="I39" s="57" t="s">
        <v>100</v>
      </c>
    </row>
    <row r="40" spans="1:9" ht="47.25" x14ac:dyDescent="0.25">
      <c r="A40" s="46">
        <v>37</v>
      </c>
      <c r="B40" s="40" t="s">
        <v>8</v>
      </c>
      <c r="C40" s="40" t="s">
        <v>9</v>
      </c>
      <c r="D40" s="20" t="s">
        <v>97</v>
      </c>
      <c r="F40" s="59">
        <v>1</v>
      </c>
      <c r="G40" s="60">
        <v>1</v>
      </c>
      <c r="H40" s="61">
        <f t="shared" si="0"/>
        <v>1</v>
      </c>
      <c r="I40" s="57" t="s">
        <v>100</v>
      </c>
    </row>
    <row r="41" spans="1:9" s="36" customFormat="1" ht="123" customHeight="1" x14ac:dyDescent="0.25">
      <c r="A41" s="47">
        <v>38</v>
      </c>
      <c r="B41" s="35" t="s">
        <v>8</v>
      </c>
      <c r="C41" s="35" t="s">
        <v>9</v>
      </c>
      <c r="D41" s="35" t="s">
        <v>98</v>
      </c>
      <c r="F41" s="66">
        <v>1</v>
      </c>
      <c r="G41" s="67">
        <v>0.95</v>
      </c>
      <c r="H41" s="61">
        <f t="shared" si="0"/>
        <v>0.95</v>
      </c>
      <c r="I41" s="57" t="s">
        <v>183</v>
      </c>
    </row>
    <row r="42" spans="1:9" s="36" customFormat="1" ht="192.75" customHeight="1" x14ac:dyDescent="0.25">
      <c r="A42" s="47">
        <v>39</v>
      </c>
      <c r="B42" s="20" t="s">
        <v>10</v>
      </c>
      <c r="C42" s="20" t="s">
        <v>28</v>
      </c>
      <c r="D42" s="35" t="s">
        <v>52</v>
      </c>
      <c r="F42" s="66">
        <v>1</v>
      </c>
      <c r="G42" s="67">
        <v>1</v>
      </c>
      <c r="H42" s="61">
        <f t="shared" si="0"/>
        <v>1</v>
      </c>
      <c r="I42" s="57" t="s">
        <v>100</v>
      </c>
    </row>
    <row r="43" spans="1:9" ht="125.25" customHeight="1" x14ac:dyDescent="0.25">
      <c r="A43" s="46">
        <v>40</v>
      </c>
      <c r="B43" s="20" t="s">
        <v>10</v>
      </c>
      <c r="C43" s="20" t="s">
        <v>27</v>
      </c>
      <c r="D43" s="20" t="s">
        <v>53</v>
      </c>
      <c r="F43" s="59">
        <v>1</v>
      </c>
      <c r="G43" s="60">
        <v>1</v>
      </c>
      <c r="H43" s="61">
        <f t="shared" si="0"/>
        <v>1</v>
      </c>
      <c r="I43" s="54" t="s">
        <v>100</v>
      </c>
    </row>
    <row r="44" spans="1:9" ht="150" x14ac:dyDescent="0.25">
      <c r="A44" s="46">
        <v>41</v>
      </c>
      <c r="B44" s="20" t="s">
        <v>10</v>
      </c>
      <c r="C44" s="20" t="s">
        <v>27</v>
      </c>
      <c r="D44" s="20" t="s">
        <v>99</v>
      </c>
      <c r="F44" s="59">
        <v>1</v>
      </c>
      <c r="G44" s="60">
        <v>0.85</v>
      </c>
      <c r="H44" s="61">
        <f t="shared" si="0"/>
        <v>0.85</v>
      </c>
      <c r="I44" s="54" t="s">
        <v>137</v>
      </c>
    </row>
    <row r="45" spans="1:9" ht="126.75" customHeight="1" x14ac:dyDescent="0.25">
      <c r="A45" s="46">
        <v>42</v>
      </c>
      <c r="B45" s="20" t="s">
        <v>10</v>
      </c>
      <c r="C45" s="20" t="s">
        <v>10</v>
      </c>
      <c r="D45" s="20" t="s">
        <v>54</v>
      </c>
      <c r="F45" s="59">
        <v>1</v>
      </c>
      <c r="G45" s="60">
        <v>0.85</v>
      </c>
      <c r="H45" s="61">
        <f t="shared" si="0"/>
        <v>0.85</v>
      </c>
      <c r="I45" s="54" t="s">
        <v>161</v>
      </c>
    </row>
    <row r="46" spans="1:9" ht="240.75" customHeight="1" x14ac:dyDescent="0.25">
      <c r="A46" s="46">
        <v>43</v>
      </c>
      <c r="B46" s="20" t="s">
        <v>10</v>
      </c>
      <c r="C46" s="20" t="s">
        <v>29</v>
      </c>
      <c r="D46" s="20" t="s">
        <v>55</v>
      </c>
      <c r="F46" s="59">
        <v>1</v>
      </c>
      <c r="G46" s="60">
        <v>0.85</v>
      </c>
      <c r="H46" s="61">
        <f t="shared" si="0"/>
        <v>0.85</v>
      </c>
      <c r="I46" s="56" t="s">
        <v>122</v>
      </c>
    </row>
    <row r="47" spans="1:9" s="41" customFormat="1" ht="300" x14ac:dyDescent="0.25">
      <c r="A47" s="45">
        <v>44</v>
      </c>
      <c r="B47" s="20" t="s">
        <v>10</v>
      </c>
      <c r="C47" s="20" t="s">
        <v>10</v>
      </c>
      <c r="D47" s="35" t="s">
        <v>56</v>
      </c>
      <c r="F47" s="63">
        <v>1</v>
      </c>
      <c r="G47" s="64">
        <v>0.8</v>
      </c>
      <c r="H47" s="61">
        <f t="shared" si="0"/>
        <v>0.8</v>
      </c>
      <c r="I47" s="65" t="s">
        <v>163</v>
      </c>
    </row>
    <row r="48" spans="1:9" ht="110.25" x14ac:dyDescent="0.25">
      <c r="A48" s="46">
        <v>45</v>
      </c>
      <c r="B48" s="20" t="s">
        <v>10</v>
      </c>
      <c r="C48" s="20" t="s">
        <v>10</v>
      </c>
      <c r="D48" s="20" t="s">
        <v>57</v>
      </c>
      <c r="F48" s="59">
        <v>1</v>
      </c>
      <c r="G48" s="67">
        <v>0.98</v>
      </c>
      <c r="H48" s="61">
        <f t="shared" si="0"/>
        <v>0.98</v>
      </c>
      <c r="I48" s="55" t="s">
        <v>101</v>
      </c>
    </row>
    <row r="49" spans="1:9" ht="195" x14ac:dyDescent="0.25">
      <c r="A49" s="46">
        <v>46</v>
      </c>
      <c r="B49" s="20" t="s">
        <v>10</v>
      </c>
      <c r="C49" s="20" t="s">
        <v>10</v>
      </c>
      <c r="D49" s="20" t="s">
        <v>58</v>
      </c>
      <c r="F49" s="59">
        <v>1</v>
      </c>
      <c r="G49" s="60">
        <v>0.93</v>
      </c>
      <c r="H49" s="61">
        <f t="shared" si="0"/>
        <v>0.93</v>
      </c>
      <c r="I49" s="57" t="s">
        <v>104</v>
      </c>
    </row>
    <row r="50" spans="1:9" s="36" customFormat="1" ht="90.75" customHeight="1" x14ac:dyDescent="0.25">
      <c r="A50" s="47">
        <v>47</v>
      </c>
      <c r="B50" s="35" t="s">
        <v>10</v>
      </c>
      <c r="C50" s="35" t="s">
        <v>10</v>
      </c>
      <c r="D50" s="35" t="s">
        <v>59</v>
      </c>
      <c r="F50" s="66">
        <v>1</v>
      </c>
      <c r="G50" s="67">
        <v>0.95</v>
      </c>
      <c r="H50" s="61">
        <f t="shared" si="0"/>
        <v>0.95</v>
      </c>
      <c r="I50" s="58" t="s">
        <v>151</v>
      </c>
    </row>
    <row r="51" spans="1:9" ht="142.5" customHeight="1" x14ac:dyDescent="0.25">
      <c r="A51" s="46">
        <v>48</v>
      </c>
      <c r="B51" s="20" t="s">
        <v>10</v>
      </c>
      <c r="C51" s="20" t="s">
        <v>10</v>
      </c>
      <c r="D51" s="20" t="s">
        <v>60</v>
      </c>
      <c r="F51" s="59">
        <v>1</v>
      </c>
      <c r="G51" s="60">
        <v>1</v>
      </c>
      <c r="H51" s="61">
        <f t="shared" si="0"/>
        <v>1</v>
      </c>
      <c r="I51" s="54" t="s">
        <v>100</v>
      </c>
    </row>
    <row r="52" spans="1:9" x14ac:dyDescent="0.25">
      <c r="H52" s="52"/>
    </row>
  </sheetData>
  <mergeCells count="2">
    <mergeCell ref="B2:D2"/>
    <mergeCell ref="F2:I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1"/>
  <sheetViews>
    <sheetView zoomScale="69" zoomScaleNormal="69" workbookViewId="0">
      <pane xSplit="4" ySplit="3" topLeftCell="E49" activePane="bottomRight" state="frozen"/>
      <selection pane="topRight" activeCell="E1" sqref="E1"/>
      <selection pane="bottomLeft" activeCell="A4" sqref="A4"/>
      <selection pane="bottomRight" activeCell="H52" sqref="H52"/>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51" customWidth="1"/>
    <col min="10" max="10" width="1.7109375" style="1" customWidth="1"/>
    <col min="11" max="16384" width="9.140625" style="1"/>
  </cols>
  <sheetData>
    <row r="1" spans="1:9" x14ac:dyDescent="0.25">
      <c r="I1" s="49"/>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50" t="s">
        <v>14</v>
      </c>
    </row>
    <row r="4" spans="1:9" s="41" customFormat="1" ht="345" x14ac:dyDescent="0.25">
      <c r="A4" s="45">
        <v>1</v>
      </c>
      <c r="B4" s="40" t="s">
        <v>3</v>
      </c>
      <c r="C4" s="40" t="s">
        <v>4</v>
      </c>
      <c r="D4" s="40" t="s">
        <v>61</v>
      </c>
      <c r="F4" s="68">
        <v>1</v>
      </c>
      <c r="G4" s="69">
        <v>0.92</v>
      </c>
      <c r="H4" s="61">
        <f>F4*G4</f>
        <v>0.92</v>
      </c>
      <c r="I4" s="65" t="s">
        <v>327</v>
      </c>
    </row>
    <row r="5" spans="1:9" ht="409.5" x14ac:dyDescent="0.25">
      <c r="A5" s="46">
        <v>2</v>
      </c>
      <c r="B5" s="20" t="s">
        <v>3</v>
      </c>
      <c r="C5" s="20" t="s">
        <v>4</v>
      </c>
      <c r="D5" s="20" t="s">
        <v>62</v>
      </c>
      <c r="F5" s="71">
        <v>1</v>
      </c>
      <c r="G5" s="72">
        <v>0.8</v>
      </c>
      <c r="H5" s="61">
        <f t="shared" ref="H5:H51" si="0">F5*G5</f>
        <v>0.8</v>
      </c>
      <c r="I5" s="54" t="s">
        <v>328</v>
      </c>
    </row>
    <row r="6" spans="1:9" ht="409.5" x14ac:dyDescent="0.25">
      <c r="A6" s="46">
        <v>3</v>
      </c>
      <c r="B6" s="20" t="s">
        <v>3</v>
      </c>
      <c r="C6" s="20" t="s">
        <v>4</v>
      </c>
      <c r="D6" s="20" t="s">
        <v>63</v>
      </c>
      <c r="F6" s="68">
        <v>1</v>
      </c>
      <c r="G6" s="69">
        <v>0.82</v>
      </c>
      <c r="H6" s="61">
        <f t="shared" si="0"/>
        <v>0.82</v>
      </c>
      <c r="I6" s="54" t="s">
        <v>329</v>
      </c>
    </row>
    <row r="7" spans="1:9" ht="345" x14ac:dyDescent="0.25">
      <c r="A7" s="46">
        <v>4</v>
      </c>
      <c r="B7" s="20" t="s">
        <v>3</v>
      </c>
      <c r="C7" s="20" t="s">
        <v>4</v>
      </c>
      <c r="D7" s="20" t="s">
        <v>64</v>
      </c>
      <c r="F7" s="68">
        <v>1</v>
      </c>
      <c r="G7" s="69">
        <v>0.9</v>
      </c>
      <c r="H7" s="61">
        <f t="shared" si="0"/>
        <v>0.9</v>
      </c>
      <c r="I7" s="54" t="s">
        <v>330</v>
      </c>
    </row>
    <row r="8" spans="1:9" ht="409.5" x14ac:dyDescent="0.25">
      <c r="A8" s="46">
        <v>5</v>
      </c>
      <c r="B8" s="20" t="s">
        <v>3</v>
      </c>
      <c r="C8" s="20" t="s">
        <v>4</v>
      </c>
      <c r="D8" s="20" t="s">
        <v>65</v>
      </c>
      <c r="F8" s="68">
        <v>1</v>
      </c>
      <c r="G8" s="69">
        <v>0.66</v>
      </c>
      <c r="H8" s="61">
        <f t="shared" si="0"/>
        <v>0.66</v>
      </c>
      <c r="I8" s="54" t="s">
        <v>331</v>
      </c>
    </row>
    <row r="9" spans="1:9" s="36" customFormat="1" ht="409.5" x14ac:dyDescent="0.25">
      <c r="A9" s="47">
        <v>6</v>
      </c>
      <c r="B9" s="35" t="s">
        <v>3</v>
      </c>
      <c r="C9" s="35" t="s">
        <v>4</v>
      </c>
      <c r="D9" s="35" t="s">
        <v>66</v>
      </c>
      <c r="F9" s="68">
        <v>1</v>
      </c>
      <c r="G9" s="69">
        <v>0.54</v>
      </c>
      <c r="H9" s="61">
        <f t="shared" si="0"/>
        <v>0.54</v>
      </c>
      <c r="I9" s="58" t="s">
        <v>332</v>
      </c>
    </row>
    <row r="10" spans="1:9" ht="409.5" x14ac:dyDescent="0.25">
      <c r="A10" s="46">
        <v>7</v>
      </c>
      <c r="B10" s="20" t="s">
        <v>3</v>
      </c>
      <c r="C10" s="20" t="s">
        <v>4</v>
      </c>
      <c r="D10" s="20" t="s">
        <v>67</v>
      </c>
      <c r="F10" s="68">
        <v>1</v>
      </c>
      <c r="G10" s="69">
        <v>0.67</v>
      </c>
      <c r="H10" s="61">
        <f t="shared" si="0"/>
        <v>0.67</v>
      </c>
      <c r="I10" s="54" t="s">
        <v>333</v>
      </c>
    </row>
    <row r="11" spans="1:9" ht="409.5" x14ac:dyDescent="0.25">
      <c r="A11" s="46">
        <v>8</v>
      </c>
      <c r="B11" s="20" t="s">
        <v>3</v>
      </c>
      <c r="C11" s="20" t="s">
        <v>4</v>
      </c>
      <c r="D11" s="20" t="s">
        <v>68</v>
      </c>
      <c r="F11" s="68">
        <v>1</v>
      </c>
      <c r="G11" s="69">
        <v>0.75</v>
      </c>
      <c r="H11" s="61">
        <f t="shared" si="0"/>
        <v>0.75</v>
      </c>
      <c r="I11" s="55" t="s">
        <v>334</v>
      </c>
    </row>
    <row r="12" spans="1:9" ht="135" x14ac:dyDescent="0.25">
      <c r="A12" s="46">
        <v>9</v>
      </c>
      <c r="B12" s="20" t="s">
        <v>3</v>
      </c>
      <c r="C12" s="20" t="s">
        <v>4</v>
      </c>
      <c r="D12" s="20" t="s">
        <v>69</v>
      </c>
      <c r="F12" s="68">
        <v>1</v>
      </c>
      <c r="G12" s="69">
        <v>0.84</v>
      </c>
      <c r="H12" s="61">
        <f t="shared" si="0"/>
        <v>0.84</v>
      </c>
      <c r="I12" s="54" t="s">
        <v>335</v>
      </c>
    </row>
    <row r="13" spans="1:9" s="36" customFormat="1" ht="150" x14ac:dyDescent="0.25">
      <c r="A13" s="47">
        <v>10</v>
      </c>
      <c r="B13" s="35" t="s">
        <v>3</v>
      </c>
      <c r="C13" s="20" t="s">
        <v>4</v>
      </c>
      <c r="D13" s="35" t="s">
        <v>70</v>
      </c>
      <c r="F13" s="68">
        <v>1</v>
      </c>
      <c r="G13" s="69">
        <v>0.87</v>
      </c>
      <c r="H13" s="61">
        <f t="shared" si="0"/>
        <v>0.87</v>
      </c>
      <c r="I13" s="57" t="s">
        <v>336</v>
      </c>
    </row>
    <row r="14" spans="1:9" ht="240" x14ac:dyDescent="0.25">
      <c r="A14" s="46">
        <v>11</v>
      </c>
      <c r="B14" s="20" t="s">
        <v>25</v>
      </c>
      <c r="C14" s="20" t="s">
        <v>26</v>
      </c>
      <c r="D14" s="20" t="s">
        <v>71</v>
      </c>
      <c r="F14" s="68">
        <v>1</v>
      </c>
      <c r="G14" s="69">
        <v>0.96</v>
      </c>
      <c r="H14" s="61">
        <f t="shared" si="0"/>
        <v>0.96</v>
      </c>
      <c r="I14" s="54" t="s">
        <v>190</v>
      </c>
    </row>
    <row r="15" spans="1:9" ht="409.5" x14ac:dyDescent="0.25">
      <c r="A15" s="46">
        <v>12</v>
      </c>
      <c r="B15" s="20" t="s">
        <v>25</v>
      </c>
      <c r="C15" s="20" t="s">
        <v>26</v>
      </c>
      <c r="D15" s="20" t="s">
        <v>72</v>
      </c>
      <c r="F15" s="68">
        <v>1</v>
      </c>
      <c r="G15" s="69">
        <v>0.65</v>
      </c>
      <c r="H15" s="61">
        <f t="shared" si="0"/>
        <v>0.65</v>
      </c>
      <c r="I15" s="54" t="s">
        <v>191</v>
      </c>
    </row>
    <row r="16" spans="1:9" s="36" customFormat="1" ht="94.5" x14ac:dyDescent="0.25">
      <c r="A16" s="47">
        <v>13</v>
      </c>
      <c r="B16" s="35" t="s">
        <v>25</v>
      </c>
      <c r="C16" s="35" t="s">
        <v>26</v>
      </c>
      <c r="D16" s="35" t="s">
        <v>193</v>
      </c>
      <c r="F16" s="68">
        <v>1</v>
      </c>
      <c r="G16" s="69">
        <v>0.96</v>
      </c>
      <c r="H16" s="61">
        <f t="shared" si="0"/>
        <v>0.96</v>
      </c>
      <c r="I16" s="57" t="s">
        <v>192</v>
      </c>
    </row>
    <row r="17" spans="1:10" ht="63" x14ac:dyDescent="0.25">
      <c r="A17" s="46">
        <v>14</v>
      </c>
      <c r="B17" s="20" t="s">
        <v>25</v>
      </c>
      <c r="C17" s="20" t="s">
        <v>26</v>
      </c>
      <c r="D17" s="20" t="s">
        <v>74</v>
      </c>
      <c r="F17" s="68">
        <v>1</v>
      </c>
      <c r="G17" s="69">
        <v>1</v>
      </c>
      <c r="H17" s="61">
        <f t="shared" si="0"/>
        <v>1</v>
      </c>
      <c r="I17" s="54" t="s">
        <v>100</v>
      </c>
    </row>
    <row r="18" spans="1:10" ht="110.25" x14ac:dyDescent="0.25">
      <c r="A18" s="46">
        <v>15</v>
      </c>
      <c r="B18" s="20" t="s">
        <v>25</v>
      </c>
      <c r="C18" s="20" t="s">
        <v>26</v>
      </c>
      <c r="D18" s="20" t="s">
        <v>194</v>
      </c>
      <c r="F18" s="68">
        <v>1</v>
      </c>
      <c r="G18" s="69">
        <v>1</v>
      </c>
      <c r="H18" s="61">
        <f t="shared" si="0"/>
        <v>1</v>
      </c>
      <c r="I18" s="54" t="s">
        <v>100</v>
      </c>
    </row>
    <row r="19" spans="1:10" ht="47.25" x14ac:dyDescent="0.25">
      <c r="A19" s="46">
        <v>16</v>
      </c>
      <c r="B19" s="20" t="s">
        <v>5</v>
      </c>
      <c r="C19" s="40" t="s">
        <v>6</v>
      </c>
      <c r="D19" s="20" t="s">
        <v>76</v>
      </c>
      <c r="F19" s="68">
        <v>1</v>
      </c>
      <c r="G19" s="69">
        <v>1</v>
      </c>
      <c r="H19" s="61">
        <f t="shared" si="0"/>
        <v>1</v>
      </c>
      <c r="I19" s="54" t="s">
        <v>186</v>
      </c>
    </row>
    <row r="20" spans="1:10" ht="105" x14ac:dyDescent="0.25">
      <c r="A20" s="46">
        <v>17</v>
      </c>
      <c r="B20" s="20" t="s">
        <v>5</v>
      </c>
      <c r="C20" s="40" t="s">
        <v>6</v>
      </c>
      <c r="D20" s="20" t="s">
        <v>77</v>
      </c>
      <c r="F20" s="68">
        <v>1</v>
      </c>
      <c r="G20" s="69">
        <v>0.8</v>
      </c>
      <c r="H20" s="61">
        <f t="shared" si="0"/>
        <v>0.8</v>
      </c>
      <c r="I20" s="54" t="s">
        <v>202</v>
      </c>
    </row>
    <row r="21" spans="1:10" s="36" customFormat="1" ht="315" x14ac:dyDescent="0.25">
      <c r="A21" s="47">
        <v>18</v>
      </c>
      <c r="B21" s="35" t="s">
        <v>5</v>
      </c>
      <c r="C21" s="40" t="s">
        <v>6</v>
      </c>
      <c r="D21" s="35" t="s">
        <v>78</v>
      </c>
      <c r="F21" s="68">
        <v>1</v>
      </c>
      <c r="G21" s="69">
        <v>0.85</v>
      </c>
      <c r="H21" s="61">
        <f t="shared" si="0"/>
        <v>0.85</v>
      </c>
      <c r="I21" s="57" t="s">
        <v>195</v>
      </c>
    </row>
    <row r="22" spans="1:10" ht="409.5" x14ac:dyDescent="0.25">
      <c r="A22" s="46">
        <v>19</v>
      </c>
      <c r="B22" s="20" t="s">
        <v>5</v>
      </c>
      <c r="C22" s="40" t="s">
        <v>6</v>
      </c>
      <c r="D22" s="20" t="s">
        <v>79</v>
      </c>
      <c r="F22" s="68">
        <v>1</v>
      </c>
      <c r="G22" s="69">
        <v>0.69</v>
      </c>
      <c r="H22" s="61">
        <f t="shared" si="0"/>
        <v>0.69</v>
      </c>
      <c r="I22" s="54" t="s">
        <v>196</v>
      </c>
    </row>
    <row r="23" spans="1:10" ht="78.75" x14ac:dyDescent="0.25">
      <c r="A23" s="46">
        <v>20</v>
      </c>
      <c r="B23" s="20" t="s">
        <v>5</v>
      </c>
      <c r="C23" s="40" t="s">
        <v>6</v>
      </c>
      <c r="D23" s="20" t="s">
        <v>80</v>
      </c>
      <c r="F23" s="68">
        <v>1</v>
      </c>
      <c r="G23" s="69">
        <v>0.9</v>
      </c>
      <c r="H23" s="61">
        <f t="shared" si="0"/>
        <v>0.9</v>
      </c>
      <c r="I23" s="57" t="s">
        <v>227</v>
      </c>
    </row>
    <row r="24" spans="1:10" ht="141.75" x14ac:dyDescent="0.25">
      <c r="A24" s="46">
        <v>21</v>
      </c>
      <c r="B24" s="20" t="s">
        <v>5</v>
      </c>
      <c r="C24" s="40" t="s">
        <v>6</v>
      </c>
      <c r="D24" s="20" t="s">
        <v>197</v>
      </c>
      <c r="F24" s="68">
        <v>1</v>
      </c>
      <c r="G24" s="69">
        <v>0.9</v>
      </c>
      <c r="H24" s="61">
        <f t="shared" si="0"/>
        <v>0.9</v>
      </c>
      <c r="I24" s="54" t="s">
        <v>198</v>
      </c>
      <c r="J24" s="1" t="s">
        <v>24</v>
      </c>
    </row>
    <row r="25" spans="1:10" s="34" customFormat="1" ht="150" customHeight="1" x14ac:dyDescent="0.25">
      <c r="A25" s="47">
        <v>22</v>
      </c>
      <c r="B25" s="35" t="s">
        <v>5</v>
      </c>
      <c r="C25" s="35" t="s">
        <v>6</v>
      </c>
      <c r="D25" s="35" t="s">
        <v>82</v>
      </c>
      <c r="F25" s="68">
        <v>1</v>
      </c>
      <c r="G25" s="69">
        <v>0.96</v>
      </c>
      <c r="H25" s="61">
        <f t="shared" si="0"/>
        <v>0.96</v>
      </c>
      <c r="I25" s="58" t="s">
        <v>199</v>
      </c>
    </row>
    <row r="26" spans="1:10" ht="157.5" x14ac:dyDescent="0.25">
      <c r="A26" s="46">
        <v>23</v>
      </c>
      <c r="B26" s="20" t="s">
        <v>5</v>
      </c>
      <c r="C26" s="20" t="s">
        <v>6</v>
      </c>
      <c r="D26" s="20" t="s">
        <v>200</v>
      </c>
      <c r="F26" s="68">
        <v>1</v>
      </c>
      <c r="G26" s="69">
        <v>0.75</v>
      </c>
      <c r="H26" s="61">
        <f t="shared" si="0"/>
        <v>0.75</v>
      </c>
      <c r="I26" s="54" t="s">
        <v>187</v>
      </c>
    </row>
    <row r="27" spans="1:10" ht="47.25" x14ac:dyDescent="0.25">
      <c r="A27" s="46">
        <v>24</v>
      </c>
      <c r="B27" s="20" t="s">
        <v>5</v>
      </c>
      <c r="C27" s="20" t="s">
        <v>6</v>
      </c>
      <c r="D27" s="20" t="s">
        <v>84</v>
      </c>
      <c r="F27" s="68">
        <v>1</v>
      </c>
      <c r="G27" s="69">
        <v>1</v>
      </c>
      <c r="H27" s="61">
        <f t="shared" si="0"/>
        <v>1</v>
      </c>
      <c r="I27" s="54" t="s">
        <v>100</v>
      </c>
    </row>
    <row r="28" spans="1:10" ht="94.5" x14ac:dyDescent="0.25">
      <c r="A28" s="46">
        <v>25</v>
      </c>
      <c r="B28" s="20" t="s">
        <v>5</v>
      </c>
      <c r="C28" s="20" t="s">
        <v>6</v>
      </c>
      <c r="D28" s="20" t="s">
        <v>85</v>
      </c>
      <c r="F28" s="68">
        <v>1</v>
      </c>
      <c r="G28" s="69">
        <v>1</v>
      </c>
      <c r="H28" s="61">
        <f t="shared" si="0"/>
        <v>1</v>
      </c>
      <c r="I28" s="54" t="s">
        <v>100</v>
      </c>
    </row>
    <row r="29" spans="1:10" ht="63" x14ac:dyDescent="0.25">
      <c r="A29" s="46">
        <v>26</v>
      </c>
      <c r="B29" s="20" t="s">
        <v>5</v>
      </c>
      <c r="C29" s="20" t="s">
        <v>6</v>
      </c>
      <c r="D29" s="20" t="s">
        <v>86</v>
      </c>
      <c r="F29" s="68">
        <v>1</v>
      </c>
      <c r="G29" s="69">
        <v>1</v>
      </c>
      <c r="H29" s="61">
        <f t="shared" si="0"/>
        <v>1</v>
      </c>
      <c r="I29" s="54" t="s">
        <v>100</v>
      </c>
    </row>
    <row r="30" spans="1:10" ht="90" x14ac:dyDescent="0.25">
      <c r="A30" s="46">
        <v>27</v>
      </c>
      <c r="B30" s="20" t="s">
        <v>5</v>
      </c>
      <c r="C30" s="42" t="s">
        <v>7</v>
      </c>
      <c r="D30" s="20" t="s">
        <v>87</v>
      </c>
      <c r="F30" s="68">
        <v>1</v>
      </c>
      <c r="G30" s="69">
        <v>0.93</v>
      </c>
      <c r="H30" s="61">
        <f t="shared" si="0"/>
        <v>0.93</v>
      </c>
      <c r="I30" s="54" t="s">
        <v>188</v>
      </c>
    </row>
    <row r="31" spans="1:10" ht="78.75" x14ac:dyDescent="0.25">
      <c r="A31" s="46">
        <v>28</v>
      </c>
      <c r="B31" s="20" t="s">
        <v>5</v>
      </c>
      <c r="C31" s="42" t="s">
        <v>7</v>
      </c>
      <c r="D31" s="20" t="s">
        <v>88</v>
      </c>
      <c r="F31" s="68">
        <v>1</v>
      </c>
      <c r="G31" s="69">
        <v>0.93</v>
      </c>
      <c r="H31" s="61">
        <f t="shared" si="0"/>
        <v>0.93</v>
      </c>
      <c r="I31" s="54" t="s">
        <v>189</v>
      </c>
    </row>
    <row r="32" spans="1:10" ht="47.25" x14ac:dyDescent="0.25">
      <c r="A32" s="46">
        <v>29</v>
      </c>
      <c r="B32" s="20" t="s">
        <v>5</v>
      </c>
      <c r="C32" s="42" t="s">
        <v>7</v>
      </c>
      <c r="D32" s="20" t="s">
        <v>89</v>
      </c>
      <c r="F32" s="71">
        <v>1</v>
      </c>
      <c r="G32" s="72">
        <v>1</v>
      </c>
      <c r="H32" s="61">
        <f t="shared" si="0"/>
        <v>1</v>
      </c>
      <c r="I32" s="54" t="s">
        <v>100</v>
      </c>
    </row>
    <row r="33" spans="1:9" ht="94.5" x14ac:dyDescent="0.25">
      <c r="A33" s="46">
        <v>30</v>
      </c>
      <c r="B33" s="20" t="s">
        <v>5</v>
      </c>
      <c r="C33" s="42" t="s">
        <v>7</v>
      </c>
      <c r="D33" s="20" t="s">
        <v>201</v>
      </c>
      <c r="F33" s="71">
        <v>1</v>
      </c>
      <c r="G33" s="72">
        <v>1</v>
      </c>
      <c r="H33" s="61">
        <f t="shared" si="0"/>
        <v>1</v>
      </c>
      <c r="I33" s="54" t="s">
        <v>100</v>
      </c>
    </row>
    <row r="34" spans="1:9" s="36" customFormat="1" ht="94.5" customHeight="1" x14ac:dyDescent="0.25">
      <c r="A34" s="47">
        <v>31</v>
      </c>
      <c r="B34" s="35" t="s">
        <v>8</v>
      </c>
      <c r="C34" s="35" t="s">
        <v>9</v>
      </c>
      <c r="D34" s="44" t="s">
        <v>169</v>
      </c>
      <c r="F34" s="73">
        <v>1</v>
      </c>
      <c r="G34" s="74">
        <v>0.98</v>
      </c>
      <c r="H34" s="61">
        <f t="shared" si="0"/>
        <v>0.98</v>
      </c>
      <c r="I34" s="57" t="s">
        <v>170</v>
      </c>
    </row>
    <row r="35" spans="1:9" ht="165" x14ac:dyDescent="0.25">
      <c r="A35" s="46">
        <v>32</v>
      </c>
      <c r="B35" s="40" t="s">
        <v>8</v>
      </c>
      <c r="C35" s="40" t="s">
        <v>9</v>
      </c>
      <c r="D35" s="22" t="s">
        <v>92</v>
      </c>
      <c r="F35" s="71">
        <v>1</v>
      </c>
      <c r="G35" s="72">
        <v>0.85</v>
      </c>
      <c r="H35" s="61">
        <f t="shared" si="0"/>
        <v>0.85</v>
      </c>
      <c r="I35" s="55" t="s">
        <v>172</v>
      </c>
    </row>
    <row r="36" spans="1:9" ht="47.25" x14ac:dyDescent="0.25">
      <c r="A36" s="46">
        <v>33</v>
      </c>
      <c r="B36" s="40" t="s">
        <v>8</v>
      </c>
      <c r="C36" s="40" t="s">
        <v>9</v>
      </c>
      <c r="D36" s="20" t="s">
        <v>93</v>
      </c>
      <c r="F36" s="71">
        <v>1</v>
      </c>
      <c r="G36" s="72">
        <v>1</v>
      </c>
      <c r="H36" s="61">
        <f t="shared" si="0"/>
        <v>1</v>
      </c>
      <c r="I36" s="54" t="s">
        <v>100</v>
      </c>
    </row>
    <row r="37" spans="1:9" ht="94.5" x14ac:dyDescent="0.25">
      <c r="A37" s="46">
        <v>34</v>
      </c>
      <c r="B37" s="40" t="s">
        <v>8</v>
      </c>
      <c r="C37" s="40" t="s">
        <v>9</v>
      </c>
      <c r="D37" s="20" t="s">
        <v>94</v>
      </c>
      <c r="F37" s="71">
        <v>1</v>
      </c>
      <c r="G37" s="72">
        <v>1</v>
      </c>
      <c r="H37" s="61">
        <f t="shared" si="0"/>
        <v>1</v>
      </c>
      <c r="I37" s="54" t="s">
        <v>100</v>
      </c>
    </row>
    <row r="38" spans="1:9" ht="63" x14ac:dyDescent="0.25">
      <c r="A38" s="46">
        <v>35</v>
      </c>
      <c r="B38" s="40" t="s">
        <v>8</v>
      </c>
      <c r="C38" s="40" t="s">
        <v>9</v>
      </c>
      <c r="D38" s="20" t="s">
        <v>95</v>
      </c>
      <c r="F38" s="71">
        <v>1</v>
      </c>
      <c r="G38" s="72">
        <v>1</v>
      </c>
      <c r="H38" s="61">
        <f t="shared" si="0"/>
        <v>1</v>
      </c>
      <c r="I38" s="54" t="s">
        <v>100</v>
      </c>
    </row>
    <row r="39" spans="1:9" ht="94.5" x14ac:dyDescent="0.25">
      <c r="A39" s="46">
        <v>36</v>
      </c>
      <c r="B39" s="40" t="s">
        <v>8</v>
      </c>
      <c r="C39" s="40" t="s">
        <v>9</v>
      </c>
      <c r="D39" s="20" t="s">
        <v>96</v>
      </c>
      <c r="F39" s="71">
        <v>1</v>
      </c>
      <c r="G39" s="72">
        <v>1</v>
      </c>
      <c r="H39" s="61">
        <f t="shared" si="0"/>
        <v>1</v>
      </c>
      <c r="I39" s="54" t="s">
        <v>100</v>
      </c>
    </row>
    <row r="40" spans="1:9" ht="47.25" x14ac:dyDescent="0.25">
      <c r="A40" s="46">
        <v>37</v>
      </c>
      <c r="B40" s="40" t="s">
        <v>8</v>
      </c>
      <c r="C40" s="40" t="s">
        <v>9</v>
      </c>
      <c r="D40" s="20" t="s">
        <v>97</v>
      </c>
      <c r="F40" s="71">
        <v>1</v>
      </c>
      <c r="G40" s="72">
        <v>1</v>
      </c>
      <c r="H40" s="61">
        <f t="shared" si="0"/>
        <v>1</v>
      </c>
      <c r="I40" s="54" t="s">
        <v>100</v>
      </c>
    </row>
    <row r="41" spans="1:9" s="36" customFormat="1" ht="123" customHeight="1" x14ac:dyDescent="0.25">
      <c r="A41" s="47">
        <v>38</v>
      </c>
      <c r="B41" s="35" t="s">
        <v>8</v>
      </c>
      <c r="C41" s="35" t="s">
        <v>9</v>
      </c>
      <c r="D41" s="35" t="s">
        <v>171</v>
      </c>
      <c r="F41" s="73">
        <v>1</v>
      </c>
      <c r="G41" s="74">
        <v>0.8</v>
      </c>
      <c r="H41" s="61">
        <f t="shared" si="0"/>
        <v>0.8</v>
      </c>
      <c r="I41" s="57" t="s">
        <v>176</v>
      </c>
    </row>
    <row r="42" spans="1:9" s="36" customFormat="1" ht="192.75" customHeight="1" x14ac:dyDescent="0.25">
      <c r="A42" s="47">
        <v>39</v>
      </c>
      <c r="B42" s="20" t="s">
        <v>10</v>
      </c>
      <c r="C42" s="20" t="s">
        <v>28</v>
      </c>
      <c r="D42" s="35" t="s">
        <v>52</v>
      </c>
      <c r="F42" s="73">
        <v>1</v>
      </c>
      <c r="G42" s="74">
        <v>0.95</v>
      </c>
      <c r="H42" s="61">
        <f t="shared" si="0"/>
        <v>0.95</v>
      </c>
      <c r="I42" s="75" t="s">
        <v>124</v>
      </c>
    </row>
    <row r="43" spans="1:9" ht="189.75" customHeight="1" x14ac:dyDescent="0.25">
      <c r="A43" s="46">
        <v>40</v>
      </c>
      <c r="B43" s="20" t="s">
        <v>10</v>
      </c>
      <c r="C43" s="20" t="s">
        <v>27</v>
      </c>
      <c r="D43" s="20" t="s">
        <v>53</v>
      </c>
      <c r="F43" s="71">
        <v>1</v>
      </c>
      <c r="G43" s="72">
        <v>0.8</v>
      </c>
      <c r="H43" s="61">
        <f t="shared" si="0"/>
        <v>0.8</v>
      </c>
      <c r="I43" s="55" t="s">
        <v>139</v>
      </c>
    </row>
    <row r="44" spans="1:9" ht="288.75" customHeight="1" x14ac:dyDescent="0.25">
      <c r="A44" s="46">
        <v>41</v>
      </c>
      <c r="B44" s="20" t="s">
        <v>10</v>
      </c>
      <c r="C44" s="20" t="s">
        <v>27</v>
      </c>
      <c r="D44" s="20" t="s">
        <v>99</v>
      </c>
      <c r="F44" s="71">
        <v>1</v>
      </c>
      <c r="G44" s="72">
        <v>0.75</v>
      </c>
      <c r="H44" s="61">
        <f t="shared" si="0"/>
        <v>0.75</v>
      </c>
      <c r="I44" s="54" t="s">
        <v>147</v>
      </c>
    </row>
    <row r="45" spans="1:9" ht="279" customHeight="1" x14ac:dyDescent="0.25">
      <c r="A45" s="46">
        <v>42</v>
      </c>
      <c r="B45" s="20" t="s">
        <v>10</v>
      </c>
      <c r="C45" s="20" t="s">
        <v>10</v>
      </c>
      <c r="D45" s="20" t="s">
        <v>54</v>
      </c>
      <c r="F45" s="71">
        <v>1</v>
      </c>
      <c r="G45" s="72">
        <v>0.75</v>
      </c>
      <c r="H45" s="61">
        <f t="shared" si="0"/>
        <v>0.75</v>
      </c>
      <c r="I45" s="55" t="s">
        <v>148</v>
      </c>
    </row>
    <row r="46" spans="1:9" ht="240.75" customHeight="1" x14ac:dyDescent="0.25">
      <c r="A46" s="46">
        <v>43</v>
      </c>
      <c r="B46" s="20" t="s">
        <v>10</v>
      </c>
      <c r="C46" s="20" t="s">
        <v>29</v>
      </c>
      <c r="D46" s="20" t="s">
        <v>55</v>
      </c>
      <c r="F46" s="71">
        <v>1</v>
      </c>
      <c r="G46" s="72">
        <v>0.75</v>
      </c>
      <c r="H46" s="61">
        <f t="shared" si="0"/>
        <v>0.75</v>
      </c>
      <c r="I46" s="55" t="s">
        <v>149</v>
      </c>
    </row>
    <row r="47" spans="1:9" s="41" customFormat="1" ht="405" x14ac:dyDescent="0.25">
      <c r="A47" s="45">
        <v>44</v>
      </c>
      <c r="B47" s="20" t="s">
        <v>10</v>
      </c>
      <c r="C47" s="20" t="s">
        <v>10</v>
      </c>
      <c r="D47" s="35" t="s">
        <v>56</v>
      </c>
      <c r="F47" s="68">
        <v>1</v>
      </c>
      <c r="G47" s="69">
        <v>0.73</v>
      </c>
      <c r="H47" s="61">
        <f t="shared" si="0"/>
        <v>0.73</v>
      </c>
      <c r="I47" s="56" t="s">
        <v>165</v>
      </c>
    </row>
    <row r="48" spans="1:9" ht="110.25" x14ac:dyDescent="0.25">
      <c r="A48" s="46">
        <v>45</v>
      </c>
      <c r="B48" s="20" t="s">
        <v>10</v>
      </c>
      <c r="C48" s="20" t="s">
        <v>10</v>
      </c>
      <c r="D48" s="20" t="s">
        <v>57</v>
      </c>
      <c r="F48" s="71">
        <v>1</v>
      </c>
      <c r="G48" s="72">
        <v>0.95</v>
      </c>
      <c r="H48" s="61">
        <f t="shared" si="0"/>
        <v>0.95</v>
      </c>
      <c r="I48" s="55" t="s">
        <v>101</v>
      </c>
    </row>
    <row r="49" spans="1:9" ht="180" x14ac:dyDescent="0.25">
      <c r="A49" s="46">
        <v>46</v>
      </c>
      <c r="B49" s="20" t="s">
        <v>10</v>
      </c>
      <c r="C49" s="20" t="s">
        <v>10</v>
      </c>
      <c r="D49" s="20" t="s">
        <v>58</v>
      </c>
      <c r="F49" s="71">
        <v>1</v>
      </c>
      <c r="G49" s="72">
        <v>0.93</v>
      </c>
      <c r="H49" s="61">
        <f t="shared" si="0"/>
        <v>0.93</v>
      </c>
      <c r="I49" s="57" t="s">
        <v>123</v>
      </c>
    </row>
    <row r="50" spans="1:9" s="36" customFormat="1" ht="90.75" customHeight="1" x14ac:dyDescent="0.25">
      <c r="A50" s="47">
        <v>47</v>
      </c>
      <c r="B50" s="35" t="s">
        <v>10</v>
      </c>
      <c r="C50" s="35" t="s">
        <v>10</v>
      </c>
      <c r="D50" s="35" t="s">
        <v>59</v>
      </c>
      <c r="F50" s="73">
        <v>1</v>
      </c>
      <c r="G50" s="74">
        <v>0.95</v>
      </c>
      <c r="H50" s="61">
        <f t="shared" si="0"/>
        <v>0.95</v>
      </c>
      <c r="I50" s="58" t="s">
        <v>151</v>
      </c>
    </row>
    <row r="51" spans="1:9" ht="142.5" customHeight="1" x14ac:dyDescent="0.25">
      <c r="A51" s="46">
        <v>48</v>
      </c>
      <c r="B51" s="20" t="s">
        <v>10</v>
      </c>
      <c r="C51" s="20" t="s">
        <v>10</v>
      </c>
      <c r="D51" s="20" t="s">
        <v>60</v>
      </c>
      <c r="F51" s="71">
        <v>1</v>
      </c>
      <c r="G51" s="72">
        <v>0.75</v>
      </c>
      <c r="H51" s="61">
        <f t="shared" si="0"/>
        <v>0.75</v>
      </c>
      <c r="I51" s="55" t="s">
        <v>140</v>
      </c>
    </row>
  </sheetData>
  <mergeCells count="2">
    <mergeCell ref="B2:D2"/>
    <mergeCell ref="F2:I2"/>
  </mergeCells>
  <pageMargins left="0.511811024" right="0.511811024" top="0.78740157499999996" bottom="0.78740157499999996" header="0.31496062000000002" footer="0.31496062000000002"/>
  <pageSetup paperSize="9" scale="2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1"/>
  <sheetViews>
    <sheetView zoomScaleNormal="100" workbookViewId="0">
      <pane xSplit="4" ySplit="3" topLeftCell="E50" activePane="bottomRight" state="frozen"/>
      <selection pane="topRight" activeCell="E1" sqref="E1"/>
      <selection pane="bottomLeft" activeCell="A4" sqref="A4"/>
      <selection pane="bottomRight" activeCell="H52" sqref="H52"/>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94.5" x14ac:dyDescent="0.25">
      <c r="A4" s="45">
        <v>1</v>
      </c>
      <c r="B4" s="40" t="s">
        <v>3</v>
      </c>
      <c r="C4" s="40" t="s">
        <v>4</v>
      </c>
      <c r="D4" s="40" t="s">
        <v>61</v>
      </c>
      <c r="F4" s="63">
        <v>1</v>
      </c>
      <c r="G4" s="64">
        <v>0.97</v>
      </c>
      <c r="H4" s="61">
        <f>F4*G4</f>
        <v>0.97</v>
      </c>
      <c r="I4" s="65" t="s">
        <v>337</v>
      </c>
    </row>
    <row r="5" spans="1:9" ht="409.5" x14ac:dyDescent="0.25">
      <c r="A5" s="46">
        <v>2</v>
      </c>
      <c r="B5" s="20" t="s">
        <v>3</v>
      </c>
      <c r="C5" s="20" t="s">
        <v>4</v>
      </c>
      <c r="D5" s="20" t="s">
        <v>62</v>
      </c>
      <c r="F5" s="59">
        <v>1</v>
      </c>
      <c r="G5" s="60">
        <v>0.82</v>
      </c>
      <c r="H5" s="61">
        <f t="shared" ref="H5:H51" si="0">F5*G5</f>
        <v>0.82</v>
      </c>
      <c r="I5" s="54" t="s">
        <v>338</v>
      </c>
    </row>
    <row r="6" spans="1:9" ht="390" x14ac:dyDescent="0.25">
      <c r="A6" s="46">
        <v>3</v>
      </c>
      <c r="B6" s="20" t="s">
        <v>3</v>
      </c>
      <c r="C6" s="20" t="s">
        <v>4</v>
      </c>
      <c r="D6" s="20" t="s">
        <v>63</v>
      </c>
      <c r="F6" s="63">
        <v>1</v>
      </c>
      <c r="G6" s="64">
        <v>0.86</v>
      </c>
      <c r="H6" s="61">
        <f t="shared" si="0"/>
        <v>0.86</v>
      </c>
      <c r="I6" s="54" t="s">
        <v>339</v>
      </c>
    </row>
    <row r="7" spans="1:9" ht="345" x14ac:dyDescent="0.25">
      <c r="A7" s="46">
        <v>4</v>
      </c>
      <c r="B7" s="20" t="s">
        <v>3</v>
      </c>
      <c r="C7" s="20" t="s">
        <v>4</v>
      </c>
      <c r="D7" s="20" t="s">
        <v>64</v>
      </c>
      <c r="F7" s="63">
        <v>1</v>
      </c>
      <c r="G7" s="64">
        <v>0.9</v>
      </c>
      <c r="H7" s="61">
        <f t="shared" si="0"/>
        <v>0.9</v>
      </c>
      <c r="I7" s="54" t="s">
        <v>340</v>
      </c>
    </row>
    <row r="8" spans="1:9" ht="409.5" x14ac:dyDescent="0.25">
      <c r="A8" s="46">
        <v>5</v>
      </c>
      <c r="B8" s="20" t="s">
        <v>3</v>
      </c>
      <c r="C8" s="20" t="s">
        <v>4</v>
      </c>
      <c r="D8" s="20" t="s">
        <v>65</v>
      </c>
      <c r="F8" s="63">
        <v>1</v>
      </c>
      <c r="G8" s="64">
        <v>0.74</v>
      </c>
      <c r="H8" s="61">
        <f t="shared" si="0"/>
        <v>0.74</v>
      </c>
      <c r="I8" s="54" t="s">
        <v>341</v>
      </c>
    </row>
    <row r="9" spans="1:9" s="36" customFormat="1" ht="409.5" x14ac:dyDescent="0.25">
      <c r="A9" s="47">
        <v>6</v>
      </c>
      <c r="B9" s="35" t="s">
        <v>3</v>
      </c>
      <c r="C9" s="35" t="s">
        <v>4</v>
      </c>
      <c r="D9" s="35" t="s">
        <v>66</v>
      </c>
      <c r="F9" s="63">
        <v>1</v>
      </c>
      <c r="G9" s="64">
        <v>0.7</v>
      </c>
      <c r="H9" s="61">
        <f t="shared" si="0"/>
        <v>0.7</v>
      </c>
      <c r="I9" s="58" t="s">
        <v>342</v>
      </c>
    </row>
    <row r="10" spans="1:9" ht="135" x14ac:dyDescent="0.25">
      <c r="A10" s="46">
        <v>7</v>
      </c>
      <c r="B10" s="20" t="s">
        <v>3</v>
      </c>
      <c r="C10" s="20" t="s">
        <v>4</v>
      </c>
      <c r="D10" s="20" t="s">
        <v>67</v>
      </c>
      <c r="F10" s="63">
        <v>1</v>
      </c>
      <c r="G10" s="64">
        <v>0.82</v>
      </c>
      <c r="H10" s="61">
        <f t="shared" si="0"/>
        <v>0.82</v>
      </c>
      <c r="I10" s="54" t="s">
        <v>343</v>
      </c>
    </row>
    <row r="11" spans="1:9" ht="315" x14ac:dyDescent="0.25">
      <c r="A11" s="46">
        <v>8</v>
      </c>
      <c r="B11" s="20" t="s">
        <v>3</v>
      </c>
      <c r="C11" s="20" t="s">
        <v>4</v>
      </c>
      <c r="D11" s="20" t="s">
        <v>68</v>
      </c>
      <c r="F11" s="63">
        <v>1</v>
      </c>
      <c r="G11" s="64">
        <v>0.9</v>
      </c>
      <c r="H11" s="61">
        <f t="shared" si="0"/>
        <v>0.9</v>
      </c>
      <c r="I11" s="55" t="s">
        <v>344</v>
      </c>
    </row>
    <row r="12" spans="1:9" ht="135" x14ac:dyDescent="0.25">
      <c r="A12" s="46">
        <v>9</v>
      </c>
      <c r="B12" s="20" t="s">
        <v>3</v>
      </c>
      <c r="C12" s="20" t="s">
        <v>4</v>
      </c>
      <c r="D12" s="20" t="s">
        <v>69</v>
      </c>
      <c r="F12" s="63">
        <v>1</v>
      </c>
      <c r="G12" s="64">
        <v>0.84</v>
      </c>
      <c r="H12" s="61">
        <f t="shared" si="0"/>
        <v>0.84</v>
      </c>
      <c r="I12" s="54" t="s">
        <v>345</v>
      </c>
    </row>
    <row r="13" spans="1:9" s="36" customFormat="1" ht="126" x14ac:dyDescent="0.25">
      <c r="A13" s="47">
        <v>10</v>
      </c>
      <c r="B13" s="35" t="s">
        <v>3</v>
      </c>
      <c r="C13" s="20" t="s">
        <v>4</v>
      </c>
      <c r="D13" s="35" t="s">
        <v>70</v>
      </c>
      <c r="F13" s="63">
        <v>1</v>
      </c>
      <c r="G13" s="64">
        <v>1</v>
      </c>
      <c r="H13" s="61">
        <f t="shared" si="0"/>
        <v>1</v>
      </c>
      <c r="I13" s="57" t="s">
        <v>100</v>
      </c>
    </row>
    <row r="14" spans="1:9" ht="135" x14ac:dyDescent="0.25">
      <c r="A14" s="46">
        <v>11</v>
      </c>
      <c r="B14" s="20" t="s">
        <v>25</v>
      </c>
      <c r="C14" s="20" t="s">
        <v>26</v>
      </c>
      <c r="D14" s="20" t="s">
        <v>71</v>
      </c>
      <c r="F14" s="63">
        <v>1</v>
      </c>
      <c r="G14" s="64">
        <v>0.98</v>
      </c>
      <c r="H14" s="61">
        <f t="shared" si="0"/>
        <v>0.98</v>
      </c>
      <c r="I14" s="54" t="s">
        <v>264</v>
      </c>
    </row>
    <row r="15" spans="1:9" ht="240" x14ac:dyDescent="0.25">
      <c r="A15" s="46">
        <v>12</v>
      </c>
      <c r="B15" s="20" t="s">
        <v>25</v>
      </c>
      <c r="C15" s="20" t="s">
        <v>26</v>
      </c>
      <c r="D15" s="20" t="s">
        <v>72</v>
      </c>
      <c r="F15" s="63">
        <v>1</v>
      </c>
      <c r="G15" s="64">
        <v>0.75</v>
      </c>
      <c r="H15" s="61">
        <f t="shared" si="0"/>
        <v>0.75</v>
      </c>
      <c r="I15" s="54" t="s">
        <v>252</v>
      </c>
    </row>
    <row r="16" spans="1:9" s="36" customFormat="1" ht="94.5" x14ac:dyDescent="0.25">
      <c r="A16" s="47">
        <v>13</v>
      </c>
      <c r="B16" s="35" t="s">
        <v>25</v>
      </c>
      <c r="C16" s="35" t="s">
        <v>26</v>
      </c>
      <c r="D16" s="35" t="s">
        <v>73</v>
      </c>
      <c r="F16" s="63">
        <v>1</v>
      </c>
      <c r="G16" s="64">
        <v>1</v>
      </c>
      <c r="H16" s="61">
        <f t="shared" si="0"/>
        <v>1</v>
      </c>
      <c r="I16" s="57" t="s">
        <v>100</v>
      </c>
    </row>
    <row r="17" spans="1:10" ht="63" x14ac:dyDescent="0.25">
      <c r="A17" s="46">
        <v>14</v>
      </c>
      <c r="B17" s="20" t="s">
        <v>25</v>
      </c>
      <c r="C17" s="20" t="s">
        <v>26</v>
      </c>
      <c r="D17" s="20" t="s">
        <v>74</v>
      </c>
      <c r="F17" s="63">
        <v>1</v>
      </c>
      <c r="G17" s="64">
        <v>1</v>
      </c>
      <c r="H17" s="61">
        <f t="shared" si="0"/>
        <v>1</v>
      </c>
      <c r="I17" s="54" t="s">
        <v>100</v>
      </c>
    </row>
    <row r="18" spans="1:10" ht="110.25" x14ac:dyDescent="0.25">
      <c r="A18" s="46">
        <v>15</v>
      </c>
      <c r="B18" s="20" t="s">
        <v>25</v>
      </c>
      <c r="C18" s="20" t="s">
        <v>26</v>
      </c>
      <c r="D18" s="20" t="s">
        <v>75</v>
      </c>
      <c r="F18" s="63">
        <v>1</v>
      </c>
      <c r="G18" s="64">
        <v>0.9</v>
      </c>
      <c r="H18" s="61">
        <f t="shared" si="0"/>
        <v>0.9</v>
      </c>
      <c r="I18" s="54" t="s">
        <v>253</v>
      </c>
    </row>
    <row r="19" spans="1:10" ht="47.25" x14ac:dyDescent="0.25">
      <c r="A19" s="46">
        <v>16</v>
      </c>
      <c r="B19" s="20" t="s">
        <v>5</v>
      </c>
      <c r="C19" s="40" t="s">
        <v>6</v>
      </c>
      <c r="D19" s="20" t="s">
        <v>76</v>
      </c>
      <c r="F19" s="63">
        <v>1</v>
      </c>
      <c r="G19" s="64">
        <v>1</v>
      </c>
      <c r="H19" s="61">
        <f t="shared" si="0"/>
        <v>1</v>
      </c>
      <c r="I19" s="54" t="s">
        <v>100</v>
      </c>
    </row>
    <row r="20" spans="1:10" ht="120" x14ac:dyDescent="0.25">
      <c r="A20" s="46">
        <v>17</v>
      </c>
      <c r="B20" s="20" t="s">
        <v>5</v>
      </c>
      <c r="C20" s="40" t="s">
        <v>6</v>
      </c>
      <c r="D20" s="20" t="s">
        <v>77</v>
      </c>
      <c r="F20" s="63">
        <v>1</v>
      </c>
      <c r="G20" s="64">
        <v>0.8</v>
      </c>
      <c r="H20" s="61">
        <f t="shared" si="0"/>
        <v>0.8</v>
      </c>
      <c r="I20" s="54" t="s">
        <v>265</v>
      </c>
    </row>
    <row r="21" spans="1:10" s="36" customFormat="1" ht="315" x14ac:dyDescent="0.25">
      <c r="A21" s="47">
        <v>18</v>
      </c>
      <c r="B21" s="35" t="s">
        <v>5</v>
      </c>
      <c r="C21" s="40" t="s">
        <v>6</v>
      </c>
      <c r="D21" s="35" t="s">
        <v>78</v>
      </c>
      <c r="F21" s="63">
        <v>1</v>
      </c>
      <c r="G21" s="64">
        <v>0.75</v>
      </c>
      <c r="H21" s="61">
        <f t="shared" si="0"/>
        <v>0.75</v>
      </c>
      <c r="I21" s="57" t="s">
        <v>254</v>
      </c>
    </row>
    <row r="22" spans="1:10" ht="375" x14ac:dyDescent="0.25">
      <c r="A22" s="46">
        <v>19</v>
      </c>
      <c r="B22" s="20" t="s">
        <v>5</v>
      </c>
      <c r="C22" s="40" t="s">
        <v>6</v>
      </c>
      <c r="D22" s="20" t="s">
        <v>79</v>
      </c>
      <c r="F22" s="63">
        <v>1</v>
      </c>
      <c r="G22" s="64">
        <v>0.75</v>
      </c>
      <c r="H22" s="61">
        <f t="shared" si="0"/>
        <v>0.75</v>
      </c>
      <c r="I22" s="54" t="s">
        <v>266</v>
      </c>
    </row>
    <row r="23" spans="1:10" ht="78.75" x14ac:dyDescent="0.25">
      <c r="A23" s="46">
        <v>20</v>
      </c>
      <c r="B23" s="20" t="s">
        <v>5</v>
      </c>
      <c r="C23" s="40" t="s">
        <v>6</v>
      </c>
      <c r="D23" s="20" t="s">
        <v>80</v>
      </c>
      <c r="F23" s="63">
        <v>1</v>
      </c>
      <c r="G23" s="64">
        <v>1</v>
      </c>
      <c r="H23" s="61">
        <f t="shared" si="0"/>
        <v>1</v>
      </c>
      <c r="I23" s="57" t="s">
        <v>100</v>
      </c>
    </row>
    <row r="24" spans="1:10" ht="141.75" x14ac:dyDescent="0.25">
      <c r="A24" s="46">
        <v>21</v>
      </c>
      <c r="B24" s="20" t="s">
        <v>5</v>
      </c>
      <c r="C24" s="40" t="s">
        <v>6</v>
      </c>
      <c r="D24" s="20" t="s">
        <v>81</v>
      </c>
      <c r="F24" s="63">
        <v>1</v>
      </c>
      <c r="G24" s="64">
        <v>1</v>
      </c>
      <c r="H24" s="61">
        <f t="shared" si="0"/>
        <v>1</v>
      </c>
      <c r="I24" s="54" t="s">
        <v>100</v>
      </c>
      <c r="J24" s="1" t="s">
        <v>24</v>
      </c>
    </row>
    <row r="25" spans="1:10" s="34" customFormat="1" ht="150" customHeight="1" x14ac:dyDescent="0.25">
      <c r="A25" s="47">
        <v>22</v>
      </c>
      <c r="B25" s="35" t="s">
        <v>5</v>
      </c>
      <c r="C25" s="35" t="s">
        <v>6</v>
      </c>
      <c r="D25" s="35" t="s">
        <v>82</v>
      </c>
      <c r="F25" s="63">
        <v>1</v>
      </c>
      <c r="G25" s="64">
        <v>0.95</v>
      </c>
      <c r="H25" s="61">
        <f t="shared" si="0"/>
        <v>0.95</v>
      </c>
      <c r="I25" s="58" t="s">
        <v>267</v>
      </c>
    </row>
    <row r="26" spans="1:10" ht="195" x14ac:dyDescent="0.25">
      <c r="A26" s="46">
        <v>23</v>
      </c>
      <c r="B26" s="20" t="s">
        <v>5</v>
      </c>
      <c r="C26" s="20" t="s">
        <v>6</v>
      </c>
      <c r="D26" s="20" t="s">
        <v>83</v>
      </c>
      <c r="F26" s="63">
        <v>1</v>
      </c>
      <c r="G26" s="64">
        <v>0.8</v>
      </c>
      <c r="H26" s="61">
        <f t="shared" si="0"/>
        <v>0.8</v>
      </c>
      <c r="I26" s="54" t="s">
        <v>268</v>
      </c>
    </row>
    <row r="27" spans="1:10" ht="75" x14ac:dyDescent="0.25">
      <c r="A27" s="46">
        <v>24</v>
      </c>
      <c r="B27" s="20" t="s">
        <v>5</v>
      </c>
      <c r="C27" s="20" t="s">
        <v>6</v>
      </c>
      <c r="D27" s="20" t="s">
        <v>84</v>
      </c>
      <c r="F27" s="63">
        <v>1</v>
      </c>
      <c r="G27" s="64">
        <v>0.85</v>
      </c>
      <c r="H27" s="61">
        <f t="shared" si="0"/>
        <v>0.85</v>
      </c>
      <c r="I27" s="54" t="s">
        <v>269</v>
      </c>
    </row>
    <row r="28" spans="1:10" ht="94.5" x14ac:dyDescent="0.25">
      <c r="A28" s="46">
        <v>25</v>
      </c>
      <c r="B28" s="20" t="s">
        <v>5</v>
      </c>
      <c r="C28" s="20" t="s">
        <v>6</v>
      </c>
      <c r="D28" s="20" t="s">
        <v>85</v>
      </c>
      <c r="F28" s="63">
        <v>1</v>
      </c>
      <c r="G28" s="64">
        <v>1</v>
      </c>
      <c r="H28" s="61">
        <f t="shared" si="0"/>
        <v>1</v>
      </c>
      <c r="I28" s="54" t="s">
        <v>100</v>
      </c>
    </row>
    <row r="29" spans="1:10" ht="63" x14ac:dyDescent="0.25">
      <c r="A29" s="46">
        <v>26</v>
      </c>
      <c r="B29" s="20" t="s">
        <v>5</v>
      </c>
      <c r="C29" s="20" t="s">
        <v>6</v>
      </c>
      <c r="D29" s="20" t="s">
        <v>86</v>
      </c>
      <c r="F29" s="63">
        <v>1</v>
      </c>
      <c r="G29" s="64">
        <v>1</v>
      </c>
      <c r="H29" s="61">
        <f t="shared" si="0"/>
        <v>1</v>
      </c>
      <c r="I29" s="54" t="s">
        <v>100</v>
      </c>
    </row>
    <row r="30" spans="1:10" ht="105" x14ac:dyDescent="0.25">
      <c r="A30" s="46">
        <v>27</v>
      </c>
      <c r="B30" s="20" t="s">
        <v>5</v>
      </c>
      <c r="C30" s="42" t="s">
        <v>7</v>
      </c>
      <c r="D30" s="20" t="s">
        <v>87</v>
      </c>
      <c r="F30" s="63">
        <v>1</v>
      </c>
      <c r="G30" s="64">
        <v>0.93</v>
      </c>
      <c r="H30" s="61">
        <f t="shared" si="0"/>
        <v>0.93</v>
      </c>
      <c r="I30" s="54" t="s">
        <v>230</v>
      </c>
    </row>
    <row r="31" spans="1:10" ht="90" x14ac:dyDescent="0.25">
      <c r="A31" s="46">
        <v>28</v>
      </c>
      <c r="B31" s="20" t="s">
        <v>5</v>
      </c>
      <c r="C31" s="42" t="s">
        <v>7</v>
      </c>
      <c r="D31" s="20" t="s">
        <v>88</v>
      </c>
      <c r="F31" s="63">
        <v>1</v>
      </c>
      <c r="G31" s="64">
        <v>0.93</v>
      </c>
      <c r="H31" s="61">
        <f t="shared" si="0"/>
        <v>0.93</v>
      </c>
      <c r="I31" s="54" t="s">
        <v>255</v>
      </c>
    </row>
    <row r="32" spans="1:10" ht="47.25" x14ac:dyDescent="0.25">
      <c r="A32" s="46">
        <v>29</v>
      </c>
      <c r="B32" s="20" t="s">
        <v>5</v>
      </c>
      <c r="C32" s="42" t="s">
        <v>7</v>
      </c>
      <c r="D32" s="20" t="s">
        <v>89</v>
      </c>
      <c r="F32" s="59">
        <v>1</v>
      </c>
      <c r="G32" s="60">
        <v>1</v>
      </c>
      <c r="H32" s="61">
        <f t="shared" si="0"/>
        <v>1</v>
      </c>
      <c r="I32" s="54" t="s">
        <v>100</v>
      </c>
    </row>
    <row r="33" spans="1:9" ht="110.25" x14ac:dyDescent="0.25">
      <c r="A33" s="46">
        <v>30</v>
      </c>
      <c r="B33" s="20" t="s">
        <v>5</v>
      </c>
      <c r="C33" s="42" t="s">
        <v>7</v>
      </c>
      <c r="D33" s="20" t="s">
        <v>90</v>
      </c>
      <c r="F33" s="59">
        <v>1</v>
      </c>
      <c r="G33" s="60">
        <v>0.5</v>
      </c>
      <c r="H33" s="61">
        <f t="shared" si="0"/>
        <v>0.5</v>
      </c>
      <c r="I33" s="54" t="s">
        <v>256</v>
      </c>
    </row>
    <row r="34" spans="1:9" s="36" customFormat="1" ht="94.5" customHeight="1" x14ac:dyDescent="0.25">
      <c r="A34" s="47">
        <v>31</v>
      </c>
      <c r="B34" s="35" t="s">
        <v>8</v>
      </c>
      <c r="C34" s="35" t="s">
        <v>9</v>
      </c>
      <c r="D34" s="44" t="s">
        <v>91</v>
      </c>
      <c r="F34" s="66">
        <v>1</v>
      </c>
      <c r="G34" s="67">
        <v>0.98</v>
      </c>
      <c r="H34" s="61">
        <f t="shared" si="0"/>
        <v>0.98</v>
      </c>
      <c r="I34" s="57" t="s">
        <v>170</v>
      </c>
    </row>
    <row r="35" spans="1:9" ht="78.75" x14ac:dyDescent="0.25">
      <c r="A35" s="46">
        <v>32</v>
      </c>
      <c r="B35" s="40" t="s">
        <v>8</v>
      </c>
      <c r="C35" s="40" t="s">
        <v>9</v>
      </c>
      <c r="D35" s="22" t="s">
        <v>92</v>
      </c>
      <c r="F35" s="59">
        <v>1</v>
      </c>
      <c r="G35" s="60">
        <v>1</v>
      </c>
      <c r="H35" s="61">
        <f t="shared" si="0"/>
        <v>1</v>
      </c>
      <c r="I35" s="55" t="s">
        <v>100</v>
      </c>
    </row>
    <row r="36" spans="1:9" ht="47.25" x14ac:dyDescent="0.25">
      <c r="A36" s="46">
        <v>33</v>
      </c>
      <c r="B36" s="40" t="s">
        <v>8</v>
      </c>
      <c r="C36" s="40" t="s">
        <v>9</v>
      </c>
      <c r="D36" s="20" t="s">
        <v>93</v>
      </c>
      <c r="F36" s="59">
        <v>1</v>
      </c>
      <c r="G36" s="60">
        <v>1</v>
      </c>
      <c r="H36" s="61">
        <f t="shared" si="0"/>
        <v>1</v>
      </c>
      <c r="I36" s="54" t="s">
        <v>100</v>
      </c>
    </row>
    <row r="37" spans="1:9" ht="94.5" x14ac:dyDescent="0.25">
      <c r="A37" s="46">
        <v>34</v>
      </c>
      <c r="B37" s="40" t="s">
        <v>8</v>
      </c>
      <c r="C37" s="40" t="s">
        <v>9</v>
      </c>
      <c r="D37" s="20" t="s">
        <v>94</v>
      </c>
      <c r="F37" s="59">
        <v>1</v>
      </c>
      <c r="G37" s="60">
        <v>1</v>
      </c>
      <c r="H37" s="61">
        <f t="shared" si="0"/>
        <v>1</v>
      </c>
      <c r="I37" s="54" t="s">
        <v>100</v>
      </c>
    </row>
    <row r="38" spans="1:9" ht="63" x14ac:dyDescent="0.25">
      <c r="A38" s="46">
        <v>35</v>
      </c>
      <c r="B38" s="40" t="s">
        <v>8</v>
      </c>
      <c r="C38" s="40" t="s">
        <v>9</v>
      </c>
      <c r="D38" s="20" t="s">
        <v>95</v>
      </c>
      <c r="F38" s="59">
        <v>1</v>
      </c>
      <c r="G38" s="60">
        <v>1</v>
      </c>
      <c r="H38" s="61">
        <f t="shared" si="0"/>
        <v>1</v>
      </c>
      <c r="I38" s="54" t="s">
        <v>100</v>
      </c>
    </row>
    <row r="39" spans="1:9" ht="94.5" x14ac:dyDescent="0.25">
      <c r="A39" s="46">
        <v>36</v>
      </c>
      <c r="B39" s="40" t="s">
        <v>8</v>
      </c>
      <c r="C39" s="40" t="s">
        <v>9</v>
      </c>
      <c r="D39" s="20" t="s">
        <v>96</v>
      </c>
      <c r="F39" s="59">
        <v>1</v>
      </c>
      <c r="G39" s="60">
        <v>1</v>
      </c>
      <c r="H39" s="61">
        <f t="shared" si="0"/>
        <v>1</v>
      </c>
      <c r="I39" s="54" t="s">
        <v>100</v>
      </c>
    </row>
    <row r="40" spans="1:9" ht="47.25" x14ac:dyDescent="0.25">
      <c r="A40" s="46">
        <v>37</v>
      </c>
      <c r="B40" s="40" t="s">
        <v>8</v>
      </c>
      <c r="C40" s="40" t="s">
        <v>9</v>
      </c>
      <c r="D40" s="20" t="s">
        <v>97</v>
      </c>
      <c r="F40" s="59">
        <v>1</v>
      </c>
      <c r="G40" s="60">
        <v>1</v>
      </c>
      <c r="H40" s="61">
        <f t="shared" si="0"/>
        <v>1</v>
      </c>
      <c r="I40" s="54" t="s">
        <v>100</v>
      </c>
    </row>
    <row r="41" spans="1:9" s="36" customFormat="1" ht="123" customHeight="1" x14ac:dyDescent="0.25">
      <c r="A41" s="47">
        <v>38</v>
      </c>
      <c r="B41" s="35" t="s">
        <v>8</v>
      </c>
      <c r="C41" s="35" t="s">
        <v>9</v>
      </c>
      <c r="D41" s="35" t="s">
        <v>98</v>
      </c>
      <c r="F41" s="66">
        <v>1</v>
      </c>
      <c r="G41" s="67">
        <v>0.95</v>
      </c>
      <c r="H41" s="61">
        <f t="shared" si="0"/>
        <v>0.95</v>
      </c>
      <c r="I41" s="57" t="s">
        <v>173</v>
      </c>
    </row>
    <row r="42" spans="1:9" s="36" customFormat="1" ht="185.25" customHeight="1" x14ac:dyDescent="0.25">
      <c r="A42" s="47">
        <v>39</v>
      </c>
      <c r="B42" s="20" t="s">
        <v>10</v>
      </c>
      <c r="C42" s="20" t="s">
        <v>28</v>
      </c>
      <c r="D42" s="35" t="s">
        <v>52</v>
      </c>
      <c r="F42" s="66">
        <v>1</v>
      </c>
      <c r="G42" s="67">
        <v>1</v>
      </c>
      <c r="H42" s="61">
        <f t="shared" si="0"/>
        <v>1</v>
      </c>
      <c r="I42" s="58" t="s">
        <v>100</v>
      </c>
    </row>
    <row r="43" spans="1:9" ht="125.25" customHeight="1" x14ac:dyDescent="0.25">
      <c r="A43" s="46">
        <v>40</v>
      </c>
      <c r="B43" s="20" t="s">
        <v>10</v>
      </c>
      <c r="C43" s="20" t="s">
        <v>27</v>
      </c>
      <c r="D43" s="20" t="s">
        <v>53</v>
      </c>
      <c r="F43" s="59">
        <v>1</v>
      </c>
      <c r="G43" s="60">
        <v>0.85</v>
      </c>
      <c r="H43" s="61">
        <f t="shared" si="0"/>
        <v>0.85</v>
      </c>
      <c r="I43" s="54" t="s">
        <v>103</v>
      </c>
    </row>
    <row r="44" spans="1:9" ht="315" x14ac:dyDescent="0.25">
      <c r="A44" s="46">
        <v>41</v>
      </c>
      <c r="B44" s="20" t="s">
        <v>10</v>
      </c>
      <c r="C44" s="20" t="s">
        <v>27</v>
      </c>
      <c r="D44" s="20" t="s">
        <v>99</v>
      </c>
      <c r="F44" s="59">
        <v>1</v>
      </c>
      <c r="G44" s="60">
        <v>0.75</v>
      </c>
      <c r="H44" s="61">
        <f t="shared" si="0"/>
        <v>0.75</v>
      </c>
      <c r="I44" s="55" t="s">
        <v>125</v>
      </c>
    </row>
    <row r="45" spans="1:9" ht="126.75" customHeight="1" x14ac:dyDescent="0.25">
      <c r="A45" s="46">
        <v>42</v>
      </c>
      <c r="B45" s="20" t="s">
        <v>10</v>
      </c>
      <c r="C45" s="20" t="s">
        <v>10</v>
      </c>
      <c r="D45" s="20" t="s">
        <v>54</v>
      </c>
      <c r="F45" s="59">
        <v>1</v>
      </c>
      <c r="G45" s="60">
        <v>0.85</v>
      </c>
      <c r="H45" s="61">
        <f t="shared" si="0"/>
        <v>0.85</v>
      </c>
      <c r="I45" s="55" t="s">
        <v>159</v>
      </c>
    </row>
    <row r="46" spans="1:9" ht="240.75" customHeight="1" x14ac:dyDescent="0.25">
      <c r="A46" s="46">
        <v>43</v>
      </c>
      <c r="B46" s="20" t="s">
        <v>10</v>
      </c>
      <c r="C46" s="20" t="s">
        <v>29</v>
      </c>
      <c r="D46" s="20" t="s">
        <v>55</v>
      </c>
      <c r="F46" s="59">
        <v>1</v>
      </c>
      <c r="G46" s="60">
        <v>0.85</v>
      </c>
      <c r="H46" s="61">
        <f t="shared" si="0"/>
        <v>0.85</v>
      </c>
      <c r="I46" s="55" t="s">
        <v>115</v>
      </c>
    </row>
    <row r="47" spans="1:9" s="41" customFormat="1" ht="315" x14ac:dyDescent="0.25">
      <c r="A47" s="45">
        <v>44</v>
      </c>
      <c r="B47" s="20" t="s">
        <v>10</v>
      </c>
      <c r="C47" s="20" t="s">
        <v>10</v>
      </c>
      <c r="D47" s="35" t="s">
        <v>56</v>
      </c>
      <c r="F47" s="63">
        <v>1</v>
      </c>
      <c r="G47" s="64">
        <v>0.75</v>
      </c>
      <c r="H47" s="61">
        <f t="shared" si="0"/>
        <v>0.75</v>
      </c>
      <c r="I47" s="56" t="s">
        <v>162</v>
      </c>
    </row>
    <row r="48" spans="1:9" ht="110.25" x14ac:dyDescent="0.25">
      <c r="A48" s="46">
        <v>45</v>
      </c>
      <c r="B48" s="20" t="s">
        <v>10</v>
      </c>
      <c r="C48" s="20" t="s">
        <v>10</v>
      </c>
      <c r="D48" s="20" t="s">
        <v>57</v>
      </c>
      <c r="F48" s="59">
        <v>1</v>
      </c>
      <c r="G48" s="60">
        <v>0.95</v>
      </c>
      <c r="H48" s="61">
        <f t="shared" si="0"/>
        <v>0.95</v>
      </c>
      <c r="I48" s="55" t="s">
        <v>101</v>
      </c>
    </row>
    <row r="49" spans="1:9" ht="195" x14ac:dyDescent="0.25">
      <c r="A49" s="46">
        <v>46</v>
      </c>
      <c r="B49" s="20" t="s">
        <v>10</v>
      </c>
      <c r="C49" s="20" t="s">
        <v>10</v>
      </c>
      <c r="D49" s="20" t="s">
        <v>58</v>
      </c>
      <c r="F49" s="59">
        <v>1</v>
      </c>
      <c r="G49" s="60">
        <v>0.93</v>
      </c>
      <c r="H49" s="61">
        <f t="shared" si="0"/>
        <v>0.93</v>
      </c>
      <c r="I49" s="57" t="s">
        <v>104</v>
      </c>
    </row>
    <row r="50" spans="1:9" s="36" customFormat="1" ht="90.75" customHeight="1" x14ac:dyDescent="0.25">
      <c r="A50" s="47">
        <v>47</v>
      </c>
      <c r="B50" s="35" t="s">
        <v>10</v>
      </c>
      <c r="C50" s="35" t="s">
        <v>10</v>
      </c>
      <c r="D50" s="35" t="s">
        <v>59</v>
      </c>
      <c r="F50" s="66">
        <v>1</v>
      </c>
      <c r="G50" s="67">
        <v>0.95</v>
      </c>
      <c r="H50" s="61">
        <f t="shared" si="0"/>
        <v>0.95</v>
      </c>
      <c r="I50" s="58" t="s">
        <v>151</v>
      </c>
    </row>
    <row r="51" spans="1:9" ht="142.5" customHeight="1" x14ac:dyDescent="0.25">
      <c r="A51" s="46">
        <v>48</v>
      </c>
      <c r="B51" s="20" t="s">
        <v>10</v>
      </c>
      <c r="C51" s="20" t="s">
        <v>10</v>
      </c>
      <c r="D51" s="20" t="s">
        <v>60</v>
      </c>
      <c r="F51" s="59">
        <v>1</v>
      </c>
      <c r="G51" s="60">
        <v>0.8</v>
      </c>
      <c r="H51" s="61">
        <f t="shared" si="0"/>
        <v>0.8</v>
      </c>
      <c r="I51" s="55" t="s">
        <v>144</v>
      </c>
    </row>
  </sheetData>
  <mergeCells count="2">
    <mergeCell ref="F2:I2"/>
    <mergeCell ref="B2:D2"/>
  </mergeCells>
  <pageMargins left="0.511811024" right="0.511811024" top="0.78740157499999996" bottom="0.78740157499999996" header="0.31496062000000002" footer="0.31496062000000002"/>
  <pageSetup paperSize="9" orientation="portrait" horizontalDpi="200" verticalDpi="20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1"/>
  <sheetViews>
    <sheetView zoomScaleNormal="100" workbookViewId="0">
      <pane xSplit="4" ySplit="3" topLeftCell="E50" activePane="bottomRight" state="frozen"/>
      <selection pane="topRight" activeCell="E1" sqref="E1"/>
      <selection pane="bottomLeft" activeCell="A4" sqref="A4"/>
      <selection pane="bottomRight" activeCell="H51" sqref="H51"/>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94.5" x14ac:dyDescent="0.25">
      <c r="A4" s="45">
        <v>1</v>
      </c>
      <c r="B4" s="40" t="s">
        <v>3</v>
      </c>
      <c r="C4" s="40" t="s">
        <v>4</v>
      </c>
      <c r="D4" s="40" t="s">
        <v>61</v>
      </c>
      <c r="F4" s="63">
        <v>1</v>
      </c>
      <c r="G4" s="64">
        <v>0.97</v>
      </c>
      <c r="H4" s="61">
        <f>F4*G4</f>
        <v>0.97</v>
      </c>
      <c r="I4" s="65" t="s">
        <v>346</v>
      </c>
    </row>
    <row r="5" spans="1:9" ht="409.5" x14ac:dyDescent="0.25">
      <c r="A5" s="46">
        <v>2</v>
      </c>
      <c r="B5" s="20" t="s">
        <v>3</v>
      </c>
      <c r="C5" s="20" t="s">
        <v>4</v>
      </c>
      <c r="D5" s="20" t="s">
        <v>347</v>
      </c>
      <c r="F5" s="59">
        <v>1</v>
      </c>
      <c r="G5" s="60">
        <v>0.82</v>
      </c>
      <c r="H5" s="61">
        <f t="shared" ref="H5:H51" si="0">F5*G5</f>
        <v>0.82</v>
      </c>
      <c r="I5" s="54" t="s">
        <v>348</v>
      </c>
    </row>
    <row r="6" spans="1:9" ht="390" x14ac:dyDescent="0.25">
      <c r="A6" s="46">
        <v>3</v>
      </c>
      <c r="B6" s="20" t="s">
        <v>3</v>
      </c>
      <c r="C6" s="20" t="s">
        <v>4</v>
      </c>
      <c r="D6" s="20" t="s">
        <v>63</v>
      </c>
      <c r="F6" s="63">
        <v>1</v>
      </c>
      <c r="G6" s="64">
        <v>0.86</v>
      </c>
      <c r="H6" s="61">
        <f t="shared" si="0"/>
        <v>0.86</v>
      </c>
      <c r="I6" s="54" t="s">
        <v>339</v>
      </c>
    </row>
    <row r="7" spans="1:9" ht="345" x14ac:dyDescent="0.25">
      <c r="A7" s="46">
        <v>4</v>
      </c>
      <c r="B7" s="20" t="s">
        <v>3</v>
      </c>
      <c r="C7" s="20" t="s">
        <v>4</v>
      </c>
      <c r="D7" s="20" t="s">
        <v>64</v>
      </c>
      <c r="F7" s="63">
        <v>1</v>
      </c>
      <c r="G7" s="64">
        <v>0.9</v>
      </c>
      <c r="H7" s="61">
        <f t="shared" si="0"/>
        <v>0.9</v>
      </c>
      <c r="I7" s="54" t="s">
        <v>340</v>
      </c>
    </row>
    <row r="8" spans="1:9" ht="409.5" x14ac:dyDescent="0.25">
      <c r="A8" s="46">
        <v>5</v>
      </c>
      <c r="B8" s="20" t="s">
        <v>3</v>
      </c>
      <c r="C8" s="20" t="s">
        <v>4</v>
      </c>
      <c r="D8" s="20" t="s">
        <v>65</v>
      </c>
      <c r="F8" s="63">
        <v>1</v>
      </c>
      <c r="G8" s="64">
        <v>0.74</v>
      </c>
      <c r="H8" s="61">
        <f t="shared" si="0"/>
        <v>0.74</v>
      </c>
      <c r="I8" s="54" t="s">
        <v>341</v>
      </c>
    </row>
    <row r="9" spans="1:9" s="36" customFormat="1" ht="409.5" x14ac:dyDescent="0.25">
      <c r="A9" s="47">
        <v>6</v>
      </c>
      <c r="B9" s="35" t="s">
        <v>3</v>
      </c>
      <c r="C9" s="35" t="s">
        <v>4</v>
      </c>
      <c r="D9" s="35" t="s">
        <v>66</v>
      </c>
      <c r="F9" s="63">
        <v>1</v>
      </c>
      <c r="G9" s="64">
        <v>0.74</v>
      </c>
      <c r="H9" s="61">
        <f t="shared" si="0"/>
        <v>0.74</v>
      </c>
      <c r="I9" s="57" t="s">
        <v>349</v>
      </c>
    </row>
    <row r="10" spans="1:9" ht="255" x14ac:dyDescent="0.25">
      <c r="A10" s="46">
        <v>7</v>
      </c>
      <c r="B10" s="20" t="s">
        <v>3</v>
      </c>
      <c r="C10" s="20" t="s">
        <v>4</v>
      </c>
      <c r="D10" s="20" t="s">
        <v>67</v>
      </c>
      <c r="F10" s="63">
        <v>1</v>
      </c>
      <c r="G10" s="64">
        <v>0.77</v>
      </c>
      <c r="H10" s="61">
        <f t="shared" si="0"/>
        <v>0.77</v>
      </c>
      <c r="I10" s="54" t="s">
        <v>350</v>
      </c>
    </row>
    <row r="11" spans="1:9" ht="315" x14ac:dyDescent="0.25">
      <c r="A11" s="46">
        <v>8</v>
      </c>
      <c r="B11" s="20" t="s">
        <v>3</v>
      </c>
      <c r="C11" s="20" t="s">
        <v>4</v>
      </c>
      <c r="D11" s="20" t="s">
        <v>68</v>
      </c>
      <c r="F11" s="63">
        <v>1</v>
      </c>
      <c r="G11" s="64">
        <v>0.9</v>
      </c>
      <c r="H11" s="61">
        <f t="shared" si="0"/>
        <v>0.9</v>
      </c>
      <c r="I11" s="54" t="s">
        <v>344</v>
      </c>
    </row>
    <row r="12" spans="1:9" ht="135" x14ac:dyDescent="0.25">
      <c r="A12" s="46">
        <v>9</v>
      </c>
      <c r="B12" s="20" t="s">
        <v>3</v>
      </c>
      <c r="C12" s="20" t="s">
        <v>4</v>
      </c>
      <c r="D12" s="20" t="s">
        <v>69</v>
      </c>
      <c r="F12" s="63">
        <v>1</v>
      </c>
      <c r="G12" s="64">
        <v>0.84</v>
      </c>
      <c r="H12" s="61">
        <f t="shared" si="0"/>
        <v>0.84</v>
      </c>
      <c r="I12" s="54" t="s">
        <v>345</v>
      </c>
    </row>
    <row r="13" spans="1:9" s="36" customFormat="1" ht="126" x14ac:dyDescent="0.25">
      <c r="A13" s="47">
        <v>10</v>
      </c>
      <c r="B13" s="35" t="s">
        <v>3</v>
      </c>
      <c r="C13" s="20" t="s">
        <v>4</v>
      </c>
      <c r="D13" s="35" t="s">
        <v>70</v>
      </c>
      <c r="F13" s="63">
        <v>1</v>
      </c>
      <c r="G13" s="64">
        <v>0.95</v>
      </c>
      <c r="H13" s="61">
        <f t="shared" si="0"/>
        <v>0.95</v>
      </c>
      <c r="I13" s="57" t="s">
        <v>351</v>
      </c>
    </row>
    <row r="14" spans="1:9" ht="135" x14ac:dyDescent="0.25">
      <c r="A14" s="46">
        <v>11</v>
      </c>
      <c r="B14" s="20" t="s">
        <v>25</v>
      </c>
      <c r="C14" s="20" t="s">
        <v>26</v>
      </c>
      <c r="D14" s="20" t="s">
        <v>71</v>
      </c>
      <c r="F14" s="63">
        <v>1</v>
      </c>
      <c r="G14" s="64">
        <v>0.98</v>
      </c>
      <c r="H14" s="61">
        <f t="shared" si="0"/>
        <v>0.98</v>
      </c>
      <c r="I14" s="54" t="s">
        <v>270</v>
      </c>
    </row>
    <row r="15" spans="1:9" ht="180" x14ac:dyDescent="0.25">
      <c r="A15" s="46">
        <v>12</v>
      </c>
      <c r="B15" s="20" t="s">
        <v>25</v>
      </c>
      <c r="C15" s="20" t="s">
        <v>26</v>
      </c>
      <c r="D15" s="20" t="s">
        <v>72</v>
      </c>
      <c r="F15" s="63">
        <v>1</v>
      </c>
      <c r="G15" s="64">
        <v>0.85</v>
      </c>
      <c r="H15" s="61">
        <f t="shared" si="0"/>
        <v>0.85</v>
      </c>
      <c r="I15" s="54" t="s">
        <v>271</v>
      </c>
    </row>
    <row r="16" spans="1:9" s="36" customFormat="1" ht="94.5" x14ac:dyDescent="0.25">
      <c r="A16" s="47">
        <v>13</v>
      </c>
      <c r="B16" s="35" t="s">
        <v>25</v>
      </c>
      <c r="C16" s="35" t="s">
        <v>26</v>
      </c>
      <c r="D16" s="35" t="s">
        <v>73</v>
      </c>
      <c r="F16" s="63">
        <v>1</v>
      </c>
      <c r="G16" s="64">
        <v>1</v>
      </c>
      <c r="H16" s="61">
        <f t="shared" si="0"/>
        <v>1</v>
      </c>
      <c r="I16" s="57" t="s">
        <v>100</v>
      </c>
    </row>
    <row r="17" spans="1:10" ht="63" x14ac:dyDescent="0.25">
      <c r="A17" s="46">
        <v>14</v>
      </c>
      <c r="B17" s="20" t="s">
        <v>25</v>
      </c>
      <c r="C17" s="20" t="s">
        <v>26</v>
      </c>
      <c r="D17" s="20" t="s">
        <v>74</v>
      </c>
      <c r="F17" s="63">
        <v>1</v>
      </c>
      <c r="G17" s="64">
        <v>1</v>
      </c>
      <c r="H17" s="61">
        <f t="shared" si="0"/>
        <v>1</v>
      </c>
      <c r="I17" s="54" t="s">
        <v>100</v>
      </c>
    </row>
    <row r="18" spans="1:10" ht="110.25" x14ac:dyDescent="0.25">
      <c r="A18" s="46">
        <v>15</v>
      </c>
      <c r="B18" s="20" t="s">
        <v>25</v>
      </c>
      <c r="C18" s="20" t="s">
        <v>26</v>
      </c>
      <c r="D18" s="20" t="s">
        <v>75</v>
      </c>
      <c r="F18" s="63">
        <v>1</v>
      </c>
      <c r="G18" s="64">
        <v>0.95</v>
      </c>
      <c r="H18" s="61">
        <f t="shared" si="0"/>
        <v>0.95</v>
      </c>
      <c r="I18" s="54" t="s">
        <v>272</v>
      </c>
    </row>
    <row r="19" spans="1:10" ht="90" x14ac:dyDescent="0.25">
      <c r="A19" s="46">
        <v>16</v>
      </c>
      <c r="B19" s="20" t="s">
        <v>5</v>
      </c>
      <c r="C19" s="40" t="s">
        <v>6</v>
      </c>
      <c r="D19" s="20" t="s">
        <v>76</v>
      </c>
      <c r="F19" s="63">
        <v>1</v>
      </c>
      <c r="G19" s="64">
        <v>0.6</v>
      </c>
      <c r="H19" s="61">
        <f t="shared" si="0"/>
        <v>0.6</v>
      </c>
      <c r="I19" s="54" t="s">
        <v>273</v>
      </c>
    </row>
    <row r="20" spans="1:10" ht="120" x14ac:dyDescent="0.25">
      <c r="A20" s="46">
        <v>17</v>
      </c>
      <c r="B20" s="20" t="s">
        <v>5</v>
      </c>
      <c r="C20" s="40" t="s">
        <v>6</v>
      </c>
      <c r="D20" s="20" t="s">
        <v>77</v>
      </c>
      <c r="F20" s="63">
        <v>1</v>
      </c>
      <c r="G20" s="64">
        <v>0.8</v>
      </c>
      <c r="H20" s="61">
        <f t="shared" si="0"/>
        <v>0.8</v>
      </c>
      <c r="I20" s="54" t="s">
        <v>274</v>
      </c>
    </row>
    <row r="21" spans="1:10" s="36" customFormat="1" ht="210" x14ac:dyDescent="0.25">
      <c r="A21" s="47">
        <v>18</v>
      </c>
      <c r="B21" s="35" t="s">
        <v>5</v>
      </c>
      <c r="C21" s="40" t="s">
        <v>6</v>
      </c>
      <c r="D21" s="35" t="s">
        <v>78</v>
      </c>
      <c r="F21" s="63">
        <v>1</v>
      </c>
      <c r="G21" s="64">
        <v>0.8</v>
      </c>
      <c r="H21" s="61">
        <f t="shared" si="0"/>
        <v>0.8</v>
      </c>
      <c r="I21" s="57" t="s">
        <v>275</v>
      </c>
    </row>
    <row r="22" spans="1:10" ht="300" x14ac:dyDescent="0.25">
      <c r="A22" s="46">
        <v>19</v>
      </c>
      <c r="B22" s="20" t="s">
        <v>5</v>
      </c>
      <c r="C22" s="40" t="s">
        <v>6</v>
      </c>
      <c r="D22" s="20" t="s">
        <v>79</v>
      </c>
      <c r="F22" s="63">
        <v>1</v>
      </c>
      <c r="G22" s="64">
        <v>0.82</v>
      </c>
      <c r="H22" s="61">
        <f t="shared" si="0"/>
        <v>0.82</v>
      </c>
      <c r="I22" s="54" t="s">
        <v>276</v>
      </c>
    </row>
    <row r="23" spans="1:10" ht="78.75" x14ac:dyDescent="0.25">
      <c r="A23" s="46">
        <v>20</v>
      </c>
      <c r="B23" s="20" t="s">
        <v>5</v>
      </c>
      <c r="C23" s="40" t="s">
        <v>6</v>
      </c>
      <c r="D23" s="20" t="s">
        <v>80</v>
      </c>
      <c r="F23" s="63">
        <v>1</v>
      </c>
      <c r="G23" s="64">
        <v>0.9</v>
      </c>
      <c r="H23" s="61">
        <f t="shared" si="0"/>
        <v>0.9</v>
      </c>
      <c r="I23" s="57" t="s">
        <v>227</v>
      </c>
    </row>
    <row r="24" spans="1:10" ht="141.75" x14ac:dyDescent="0.25">
      <c r="A24" s="46">
        <v>21</v>
      </c>
      <c r="B24" s="20" t="s">
        <v>5</v>
      </c>
      <c r="C24" s="40" t="s">
        <v>6</v>
      </c>
      <c r="D24" s="20" t="s">
        <v>81</v>
      </c>
      <c r="F24" s="63">
        <v>1</v>
      </c>
      <c r="G24" s="64">
        <v>1</v>
      </c>
      <c r="H24" s="61">
        <f t="shared" si="0"/>
        <v>1</v>
      </c>
      <c r="I24" s="54" t="s">
        <v>100</v>
      </c>
      <c r="J24" s="1" t="s">
        <v>24</v>
      </c>
    </row>
    <row r="25" spans="1:10" s="34" customFormat="1" ht="150" customHeight="1" x14ac:dyDescent="0.25">
      <c r="A25" s="47">
        <v>22</v>
      </c>
      <c r="B25" s="35" t="s">
        <v>5</v>
      </c>
      <c r="C25" s="35" t="s">
        <v>6</v>
      </c>
      <c r="D25" s="35" t="s">
        <v>82</v>
      </c>
      <c r="F25" s="63">
        <v>1</v>
      </c>
      <c r="G25" s="64">
        <v>1</v>
      </c>
      <c r="H25" s="61">
        <f t="shared" si="0"/>
        <v>1</v>
      </c>
      <c r="I25" s="58" t="s">
        <v>100</v>
      </c>
    </row>
    <row r="26" spans="1:10" ht="173.25" x14ac:dyDescent="0.25">
      <c r="A26" s="46">
        <v>23</v>
      </c>
      <c r="B26" s="20" t="s">
        <v>5</v>
      </c>
      <c r="C26" s="20" t="s">
        <v>6</v>
      </c>
      <c r="D26" s="20" t="s">
        <v>83</v>
      </c>
      <c r="F26" s="63">
        <v>1</v>
      </c>
      <c r="G26" s="64">
        <v>1</v>
      </c>
      <c r="H26" s="61">
        <f t="shared" si="0"/>
        <v>1</v>
      </c>
      <c r="I26" s="54" t="s">
        <v>100</v>
      </c>
    </row>
    <row r="27" spans="1:10" ht="47.25" x14ac:dyDescent="0.25">
      <c r="A27" s="46">
        <v>24</v>
      </c>
      <c r="B27" s="20" t="s">
        <v>5</v>
      </c>
      <c r="C27" s="20" t="s">
        <v>6</v>
      </c>
      <c r="D27" s="20" t="s">
        <v>84</v>
      </c>
      <c r="F27" s="63">
        <v>1</v>
      </c>
      <c r="G27" s="64">
        <v>1</v>
      </c>
      <c r="H27" s="61">
        <f t="shared" si="0"/>
        <v>1</v>
      </c>
      <c r="I27" s="54" t="s">
        <v>100</v>
      </c>
    </row>
    <row r="28" spans="1:10" ht="94.5" x14ac:dyDescent="0.25">
      <c r="A28" s="46">
        <v>25</v>
      </c>
      <c r="B28" s="20" t="s">
        <v>5</v>
      </c>
      <c r="C28" s="20" t="s">
        <v>6</v>
      </c>
      <c r="D28" s="20" t="s">
        <v>85</v>
      </c>
      <c r="F28" s="63">
        <v>1</v>
      </c>
      <c r="G28" s="64">
        <v>1</v>
      </c>
      <c r="H28" s="61">
        <f t="shared" si="0"/>
        <v>1</v>
      </c>
      <c r="I28" s="54" t="s">
        <v>100</v>
      </c>
    </row>
    <row r="29" spans="1:10" ht="63" x14ac:dyDescent="0.25">
      <c r="A29" s="46">
        <v>26</v>
      </c>
      <c r="B29" s="20" t="s">
        <v>5</v>
      </c>
      <c r="C29" s="20" t="s">
        <v>6</v>
      </c>
      <c r="D29" s="20" t="s">
        <v>86</v>
      </c>
      <c r="F29" s="63">
        <v>1</v>
      </c>
      <c r="G29" s="64">
        <v>1</v>
      </c>
      <c r="H29" s="61">
        <f t="shared" si="0"/>
        <v>1</v>
      </c>
      <c r="I29" s="54" t="s">
        <v>100</v>
      </c>
    </row>
    <row r="30" spans="1:10" ht="150" x14ac:dyDescent="0.25">
      <c r="A30" s="46">
        <v>27</v>
      </c>
      <c r="B30" s="20" t="s">
        <v>5</v>
      </c>
      <c r="C30" s="42" t="s">
        <v>7</v>
      </c>
      <c r="D30" s="20" t="s">
        <v>87</v>
      </c>
      <c r="F30" s="63">
        <v>1</v>
      </c>
      <c r="G30" s="64">
        <v>0.9</v>
      </c>
      <c r="H30" s="61">
        <f t="shared" si="0"/>
        <v>0.9</v>
      </c>
      <c r="I30" s="54" t="s">
        <v>239</v>
      </c>
    </row>
    <row r="31" spans="1:10" ht="90" x14ac:dyDescent="0.25">
      <c r="A31" s="46">
        <v>28</v>
      </c>
      <c r="B31" s="20" t="s">
        <v>5</v>
      </c>
      <c r="C31" s="42" t="s">
        <v>7</v>
      </c>
      <c r="D31" s="20" t="s">
        <v>88</v>
      </c>
      <c r="F31" s="63">
        <v>1</v>
      </c>
      <c r="G31" s="64">
        <v>0.93</v>
      </c>
      <c r="H31" s="61">
        <f t="shared" si="0"/>
        <v>0.93</v>
      </c>
      <c r="I31" s="54" t="s">
        <v>255</v>
      </c>
    </row>
    <row r="32" spans="1:10" ht="47.25" x14ac:dyDescent="0.25">
      <c r="A32" s="46">
        <v>29</v>
      </c>
      <c r="B32" s="20" t="s">
        <v>5</v>
      </c>
      <c r="C32" s="42" t="s">
        <v>7</v>
      </c>
      <c r="D32" s="20" t="s">
        <v>89</v>
      </c>
      <c r="F32" s="59">
        <v>1</v>
      </c>
      <c r="G32" s="60">
        <v>1</v>
      </c>
      <c r="H32" s="61">
        <f t="shared" si="0"/>
        <v>1</v>
      </c>
      <c r="I32" s="54" t="s">
        <v>100</v>
      </c>
    </row>
    <row r="33" spans="1:9" ht="110.25" x14ac:dyDescent="0.25">
      <c r="A33" s="46">
        <v>30</v>
      </c>
      <c r="B33" s="20" t="s">
        <v>5</v>
      </c>
      <c r="C33" s="42" t="s">
        <v>7</v>
      </c>
      <c r="D33" s="20" t="s">
        <v>90</v>
      </c>
      <c r="F33" s="59">
        <v>1</v>
      </c>
      <c r="G33" s="60">
        <v>1</v>
      </c>
      <c r="H33" s="61">
        <f t="shared" si="0"/>
        <v>1</v>
      </c>
      <c r="I33" s="54" t="s">
        <v>100</v>
      </c>
    </row>
    <row r="34" spans="1:9" s="36" customFormat="1" ht="94.5" customHeight="1" x14ac:dyDescent="0.25">
      <c r="A34" s="47">
        <v>31</v>
      </c>
      <c r="B34" s="35" t="s">
        <v>8</v>
      </c>
      <c r="C34" s="35" t="s">
        <v>9</v>
      </c>
      <c r="D34" s="44" t="s">
        <v>91</v>
      </c>
      <c r="F34" s="66">
        <v>1</v>
      </c>
      <c r="G34" s="67">
        <v>0.88</v>
      </c>
      <c r="H34" s="61">
        <f t="shared" si="0"/>
        <v>0.88</v>
      </c>
      <c r="I34" s="57" t="s">
        <v>174</v>
      </c>
    </row>
    <row r="35" spans="1:9" ht="78.75" x14ac:dyDescent="0.25">
      <c r="A35" s="46">
        <v>32</v>
      </c>
      <c r="B35" s="40" t="s">
        <v>8</v>
      </c>
      <c r="C35" s="40" t="s">
        <v>9</v>
      </c>
      <c r="D35" s="22" t="s">
        <v>92</v>
      </c>
      <c r="F35" s="66">
        <v>1</v>
      </c>
      <c r="G35" s="60">
        <v>0.9</v>
      </c>
      <c r="H35" s="61">
        <f t="shared" si="0"/>
        <v>0.9</v>
      </c>
      <c r="I35" s="55" t="s">
        <v>175</v>
      </c>
    </row>
    <row r="36" spans="1:9" ht="47.25" x14ac:dyDescent="0.25">
      <c r="A36" s="46">
        <v>33</v>
      </c>
      <c r="B36" s="40" t="s">
        <v>8</v>
      </c>
      <c r="C36" s="40" t="s">
        <v>9</v>
      </c>
      <c r="D36" s="20" t="s">
        <v>93</v>
      </c>
      <c r="F36" s="66">
        <v>1</v>
      </c>
      <c r="G36" s="60">
        <v>1</v>
      </c>
      <c r="H36" s="61">
        <f t="shared" si="0"/>
        <v>1</v>
      </c>
      <c r="I36" s="54" t="s">
        <v>100</v>
      </c>
    </row>
    <row r="37" spans="1:9" ht="94.5" x14ac:dyDescent="0.25">
      <c r="A37" s="46">
        <v>34</v>
      </c>
      <c r="B37" s="40" t="s">
        <v>8</v>
      </c>
      <c r="C37" s="40" t="s">
        <v>9</v>
      </c>
      <c r="D37" s="20" t="s">
        <v>94</v>
      </c>
      <c r="F37" s="66">
        <v>1</v>
      </c>
      <c r="G37" s="60">
        <v>1</v>
      </c>
      <c r="H37" s="61">
        <f t="shared" si="0"/>
        <v>1</v>
      </c>
      <c r="I37" s="54" t="s">
        <v>100</v>
      </c>
    </row>
    <row r="38" spans="1:9" ht="63" x14ac:dyDescent="0.25">
      <c r="A38" s="46">
        <v>35</v>
      </c>
      <c r="B38" s="40" t="s">
        <v>8</v>
      </c>
      <c r="C38" s="40" t="s">
        <v>9</v>
      </c>
      <c r="D38" s="20" t="s">
        <v>95</v>
      </c>
      <c r="F38" s="66">
        <v>1</v>
      </c>
      <c r="G38" s="60">
        <v>0.9</v>
      </c>
      <c r="H38" s="61">
        <f t="shared" si="0"/>
        <v>0.9</v>
      </c>
      <c r="I38" s="54" t="s">
        <v>177</v>
      </c>
    </row>
    <row r="39" spans="1:9" ht="94.5" x14ac:dyDescent="0.25">
      <c r="A39" s="46">
        <v>36</v>
      </c>
      <c r="B39" s="40" t="s">
        <v>8</v>
      </c>
      <c r="C39" s="40" t="s">
        <v>9</v>
      </c>
      <c r="D39" s="20" t="s">
        <v>96</v>
      </c>
      <c r="F39" s="66">
        <v>1</v>
      </c>
      <c r="G39" s="60">
        <v>1</v>
      </c>
      <c r="H39" s="61">
        <f t="shared" si="0"/>
        <v>1</v>
      </c>
      <c r="I39" s="54" t="s">
        <v>100</v>
      </c>
    </row>
    <row r="40" spans="1:9" ht="47.25" x14ac:dyDescent="0.25">
      <c r="A40" s="46">
        <v>37</v>
      </c>
      <c r="B40" s="40" t="s">
        <v>8</v>
      </c>
      <c r="C40" s="40" t="s">
        <v>9</v>
      </c>
      <c r="D40" s="20" t="s">
        <v>97</v>
      </c>
      <c r="F40" s="66">
        <v>1</v>
      </c>
      <c r="G40" s="60">
        <v>1</v>
      </c>
      <c r="H40" s="61">
        <f t="shared" si="0"/>
        <v>1</v>
      </c>
      <c r="I40" s="54" t="s">
        <v>100</v>
      </c>
    </row>
    <row r="41" spans="1:9" s="36" customFormat="1" ht="123" customHeight="1" x14ac:dyDescent="0.25">
      <c r="A41" s="47">
        <v>38</v>
      </c>
      <c r="B41" s="35" t="s">
        <v>8</v>
      </c>
      <c r="C41" s="35" t="s">
        <v>9</v>
      </c>
      <c r="D41" s="35" t="s">
        <v>98</v>
      </c>
      <c r="F41" s="66">
        <v>1</v>
      </c>
      <c r="G41" s="67">
        <v>0.95</v>
      </c>
      <c r="H41" s="61">
        <f t="shared" si="0"/>
        <v>0.95</v>
      </c>
      <c r="I41" s="57" t="s">
        <v>178</v>
      </c>
    </row>
    <row r="42" spans="1:9" s="36" customFormat="1" ht="192.75" customHeight="1" x14ac:dyDescent="0.25">
      <c r="A42" s="47">
        <v>39</v>
      </c>
      <c r="B42" s="20" t="s">
        <v>10</v>
      </c>
      <c r="C42" s="20" t="s">
        <v>28</v>
      </c>
      <c r="D42" s="35" t="s">
        <v>52</v>
      </c>
      <c r="F42" s="66">
        <v>1</v>
      </c>
      <c r="G42" s="67">
        <v>1</v>
      </c>
      <c r="H42" s="61">
        <f t="shared" si="0"/>
        <v>1</v>
      </c>
      <c r="I42" s="58" t="s">
        <v>100</v>
      </c>
    </row>
    <row r="43" spans="1:9" ht="125.25" customHeight="1" x14ac:dyDescent="0.25">
      <c r="A43" s="46">
        <v>40</v>
      </c>
      <c r="B43" s="20" t="s">
        <v>10</v>
      </c>
      <c r="C43" s="20" t="s">
        <v>27</v>
      </c>
      <c r="D43" s="20" t="s">
        <v>53</v>
      </c>
      <c r="F43" s="59">
        <v>1</v>
      </c>
      <c r="G43" s="60">
        <v>1</v>
      </c>
      <c r="H43" s="61">
        <f t="shared" si="0"/>
        <v>1</v>
      </c>
      <c r="I43" s="54" t="s">
        <v>100</v>
      </c>
    </row>
    <row r="44" spans="1:9" ht="300" x14ac:dyDescent="0.25">
      <c r="A44" s="46">
        <v>41</v>
      </c>
      <c r="B44" s="20" t="s">
        <v>10</v>
      </c>
      <c r="C44" s="20" t="s">
        <v>27</v>
      </c>
      <c r="D44" s="20" t="s">
        <v>99</v>
      </c>
      <c r="F44" s="59">
        <v>1</v>
      </c>
      <c r="G44" s="60">
        <v>0.75</v>
      </c>
      <c r="H44" s="61">
        <f t="shared" si="0"/>
        <v>0.75</v>
      </c>
      <c r="I44" s="55" t="s">
        <v>126</v>
      </c>
    </row>
    <row r="45" spans="1:9" ht="126.75" customHeight="1" x14ac:dyDescent="0.25">
      <c r="A45" s="46">
        <v>42</v>
      </c>
      <c r="B45" s="20" t="s">
        <v>10</v>
      </c>
      <c r="C45" s="20" t="s">
        <v>10</v>
      </c>
      <c r="D45" s="20" t="s">
        <v>54</v>
      </c>
      <c r="F45" s="59">
        <v>1</v>
      </c>
      <c r="G45" s="60">
        <v>0.82</v>
      </c>
      <c r="H45" s="61">
        <f t="shared" si="0"/>
        <v>0.82</v>
      </c>
      <c r="I45" s="55" t="s">
        <v>158</v>
      </c>
    </row>
    <row r="46" spans="1:9" ht="240.75" customHeight="1" x14ac:dyDescent="0.25">
      <c r="A46" s="46">
        <v>43</v>
      </c>
      <c r="B46" s="20" t="s">
        <v>10</v>
      </c>
      <c r="C46" s="20" t="s">
        <v>29</v>
      </c>
      <c r="D46" s="20" t="s">
        <v>55</v>
      </c>
      <c r="F46" s="59">
        <v>1</v>
      </c>
      <c r="G46" s="60">
        <v>0.85</v>
      </c>
      <c r="H46" s="61">
        <f t="shared" si="0"/>
        <v>0.85</v>
      </c>
      <c r="I46" s="55" t="s">
        <v>116</v>
      </c>
    </row>
    <row r="47" spans="1:9" s="41" customFormat="1" ht="315" x14ac:dyDescent="0.25">
      <c r="A47" s="45">
        <v>44</v>
      </c>
      <c r="B47" s="20" t="s">
        <v>10</v>
      </c>
      <c r="C47" s="20" t="s">
        <v>10</v>
      </c>
      <c r="D47" s="35" t="s">
        <v>56</v>
      </c>
      <c r="F47" s="63">
        <v>1</v>
      </c>
      <c r="G47" s="64">
        <v>0.75</v>
      </c>
      <c r="H47" s="61">
        <f t="shared" si="0"/>
        <v>0.75</v>
      </c>
      <c r="I47" s="56" t="s">
        <v>162</v>
      </c>
    </row>
    <row r="48" spans="1:9" ht="110.25" x14ac:dyDescent="0.25">
      <c r="A48" s="46">
        <v>45</v>
      </c>
      <c r="B48" s="20" t="s">
        <v>10</v>
      </c>
      <c r="C48" s="20" t="s">
        <v>10</v>
      </c>
      <c r="D48" s="20" t="s">
        <v>57</v>
      </c>
      <c r="F48" s="59">
        <v>1</v>
      </c>
      <c r="G48" s="60">
        <v>0.98</v>
      </c>
      <c r="H48" s="61">
        <f t="shared" si="0"/>
        <v>0.98</v>
      </c>
      <c r="I48" s="55" t="s">
        <v>101</v>
      </c>
    </row>
    <row r="49" spans="1:9" ht="195" x14ac:dyDescent="0.25">
      <c r="A49" s="46">
        <v>46</v>
      </c>
      <c r="B49" s="20" t="s">
        <v>10</v>
      </c>
      <c r="C49" s="20" t="s">
        <v>10</v>
      </c>
      <c r="D49" s="20" t="s">
        <v>58</v>
      </c>
      <c r="F49" s="59">
        <v>1</v>
      </c>
      <c r="G49" s="60">
        <v>0.93</v>
      </c>
      <c r="H49" s="61">
        <f t="shared" si="0"/>
        <v>0.93</v>
      </c>
      <c r="I49" s="57" t="s">
        <v>104</v>
      </c>
    </row>
    <row r="50" spans="1:9" s="36" customFormat="1" ht="90.75" customHeight="1" x14ac:dyDescent="0.25">
      <c r="A50" s="47">
        <v>47</v>
      </c>
      <c r="B50" s="35" t="s">
        <v>10</v>
      </c>
      <c r="C50" s="35" t="s">
        <v>10</v>
      </c>
      <c r="D50" s="35" t="s">
        <v>59</v>
      </c>
      <c r="F50" s="66">
        <v>1</v>
      </c>
      <c r="G50" s="67">
        <v>0.95</v>
      </c>
      <c r="H50" s="61">
        <f t="shared" si="0"/>
        <v>0.95</v>
      </c>
      <c r="I50" s="58" t="s">
        <v>151</v>
      </c>
    </row>
    <row r="51" spans="1:9" ht="142.5" customHeight="1" x14ac:dyDescent="0.25">
      <c r="A51" s="46">
        <v>48</v>
      </c>
      <c r="B51" s="20" t="s">
        <v>10</v>
      </c>
      <c r="C51" s="20" t="s">
        <v>10</v>
      </c>
      <c r="D51" s="20" t="s">
        <v>60</v>
      </c>
      <c r="F51" s="59">
        <v>1</v>
      </c>
      <c r="G51" s="60">
        <v>1</v>
      </c>
      <c r="H51" s="61">
        <f t="shared" si="0"/>
        <v>1</v>
      </c>
      <c r="I51" s="54" t="s">
        <v>100</v>
      </c>
    </row>
  </sheetData>
  <mergeCells count="2">
    <mergeCell ref="B2:D2"/>
    <mergeCell ref="F2:I2"/>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1"/>
  <sheetViews>
    <sheetView zoomScaleNormal="100" workbookViewId="0">
      <pane xSplit="4" ySplit="3" topLeftCell="E50" activePane="bottomRight" state="frozen"/>
      <selection pane="topRight" activeCell="E1" sqref="E1"/>
      <selection pane="bottomLeft" activeCell="A4" sqref="A4"/>
      <selection pane="bottomRight" activeCell="H51" sqref="H51"/>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94.5" x14ac:dyDescent="0.25">
      <c r="A4" s="45">
        <v>1</v>
      </c>
      <c r="B4" s="40" t="s">
        <v>3</v>
      </c>
      <c r="C4" s="40" t="s">
        <v>4</v>
      </c>
      <c r="D4" s="40" t="s">
        <v>61</v>
      </c>
      <c r="F4" s="63">
        <v>1</v>
      </c>
      <c r="G4" s="64">
        <v>0.97</v>
      </c>
      <c r="H4" s="61">
        <f>F4*G4</f>
        <v>0.97</v>
      </c>
      <c r="I4" s="65" t="s">
        <v>337</v>
      </c>
    </row>
    <row r="5" spans="1:9" ht="409.5" x14ac:dyDescent="0.25">
      <c r="A5" s="46">
        <v>2</v>
      </c>
      <c r="B5" s="20" t="s">
        <v>3</v>
      </c>
      <c r="C5" s="20" t="s">
        <v>4</v>
      </c>
      <c r="D5" s="20" t="s">
        <v>62</v>
      </c>
      <c r="F5" s="59">
        <v>1</v>
      </c>
      <c r="G5" s="60">
        <v>0.82</v>
      </c>
      <c r="H5" s="61">
        <f t="shared" ref="H5:H51" si="0">F5*G5</f>
        <v>0.82</v>
      </c>
      <c r="I5" s="54" t="s">
        <v>352</v>
      </c>
    </row>
    <row r="6" spans="1:9" ht="409.5" x14ac:dyDescent="0.25">
      <c r="A6" s="46">
        <v>3</v>
      </c>
      <c r="B6" s="20" t="s">
        <v>3</v>
      </c>
      <c r="C6" s="20" t="s">
        <v>4</v>
      </c>
      <c r="D6" s="20" t="s">
        <v>63</v>
      </c>
      <c r="F6" s="63">
        <v>1</v>
      </c>
      <c r="G6" s="64">
        <v>0.84</v>
      </c>
      <c r="H6" s="61">
        <f t="shared" si="0"/>
        <v>0.84</v>
      </c>
      <c r="I6" s="54" t="s">
        <v>353</v>
      </c>
    </row>
    <row r="7" spans="1:9" ht="390" x14ac:dyDescent="0.25">
      <c r="A7" s="46">
        <v>4</v>
      </c>
      <c r="B7" s="20" t="s">
        <v>3</v>
      </c>
      <c r="C7" s="20" t="s">
        <v>4</v>
      </c>
      <c r="D7" s="20" t="s">
        <v>64</v>
      </c>
      <c r="F7" s="63">
        <v>1</v>
      </c>
      <c r="G7" s="64">
        <v>0.88</v>
      </c>
      <c r="H7" s="61">
        <f t="shared" si="0"/>
        <v>0.88</v>
      </c>
      <c r="I7" s="54" t="s">
        <v>354</v>
      </c>
    </row>
    <row r="8" spans="1:9" ht="409.5" x14ac:dyDescent="0.25">
      <c r="A8" s="46">
        <v>5</v>
      </c>
      <c r="B8" s="20" t="s">
        <v>3</v>
      </c>
      <c r="C8" s="20" t="s">
        <v>4</v>
      </c>
      <c r="D8" s="20" t="s">
        <v>65</v>
      </c>
      <c r="F8" s="63">
        <v>1</v>
      </c>
      <c r="G8" s="64">
        <v>0.74</v>
      </c>
      <c r="H8" s="61">
        <f t="shared" si="0"/>
        <v>0.74</v>
      </c>
      <c r="I8" s="54" t="s">
        <v>355</v>
      </c>
    </row>
    <row r="9" spans="1:9" s="36" customFormat="1" ht="409.5" x14ac:dyDescent="0.25">
      <c r="A9" s="47">
        <v>6</v>
      </c>
      <c r="B9" s="35" t="s">
        <v>3</v>
      </c>
      <c r="C9" s="35" t="s">
        <v>4</v>
      </c>
      <c r="D9" s="35" t="s">
        <v>66</v>
      </c>
      <c r="F9" s="63">
        <v>1</v>
      </c>
      <c r="G9" s="64">
        <v>0.74</v>
      </c>
      <c r="H9" s="61">
        <f t="shared" si="0"/>
        <v>0.74</v>
      </c>
      <c r="I9" s="58" t="s">
        <v>356</v>
      </c>
    </row>
    <row r="10" spans="1:9" ht="225" x14ac:dyDescent="0.25">
      <c r="A10" s="46">
        <v>7</v>
      </c>
      <c r="B10" s="20" t="s">
        <v>3</v>
      </c>
      <c r="C10" s="20" t="s">
        <v>4</v>
      </c>
      <c r="D10" s="20" t="s">
        <v>67</v>
      </c>
      <c r="F10" s="63">
        <v>1</v>
      </c>
      <c r="G10" s="64">
        <v>0.82</v>
      </c>
      <c r="H10" s="61">
        <f t="shared" si="0"/>
        <v>0.82</v>
      </c>
      <c r="I10" s="54" t="s">
        <v>357</v>
      </c>
    </row>
    <row r="11" spans="1:9" ht="315" x14ac:dyDescent="0.25">
      <c r="A11" s="46">
        <v>8</v>
      </c>
      <c r="B11" s="20" t="s">
        <v>3</v>
      </c>
      <c r="C11" s="20" t="s">
        <v>4</v>
      </c>
      <c r="D11" s="20" t="s">
        <v>68</v>
      </c>
      <c r="F11" s="63">
        <v>1</v>
      </c>
      <c r="G11" s="64">
        <v>0.9</v>
      </c>
      <c r="H11" s="61">
        <f t="shared" si="0"/>
        <v>0.9</v>
      </c>
      <c r="I11" s="55" t="s">
        <v>344</v>
      </c>
    </row>
    <row r="12" spans="1:9" ht="135" x14ac:dyDescent="0.25">
      <c r="A12" s="46">
        <v>9</v>
      </c>
      <c r="B12" s="20" t="s">
        <v>3</v>
      </c>
      <c r="C12" s="20" t="s">
        <v>4</v>
      </c>
      <c r="D12" s="20" t="s">
        <v>69</v>
      </c>
      <c r="F12" s="63">
        <v>1</v>
      </c>
      <c r="G12" s="64">
        <v>0.84</v>
      </c>
      <c r="H12" s="61">
        <f t="shared" si="0"/>
        <v>0.84</v>
      </c>
      <c r="I12" s="54" t="s">
        <v>345</v>
      </c>
    </row>
    <row r="13" spans="1:9" s="36" customFormat="1" ht="126" x14ac:dyDescent="0.25">
      <c r="A13" s="47">
        <v>10</v>
      </c>
      <c r="B13" s="35" t="s">
        <v>3</v>
      </c>
      <c r="C13" s="20" t="s">
        <v>4</v>
      </c>
      <c r="D13" s="35" t="s">
        <v>70</v>
      </c>
      <c r="F13" s="63">
        <v>1</v>
      </c>
      <c r="G13" s="64">
        <v>0.95</v>
      </c>
      <c r="H13" s="61">
        <f t="shared" si="0"/>
        <v>0.95</v>
      </c>
      <c r="I13" s="57" t="s">
        <v>351</v>
      </c>
    </row>
    <row r="14" spans="1:9" ht="135" x14ac:dyDescent="0.25">
      <c r="A14" s="46">
        <v>11</v>
      </c>
      <c r="B14" s="20" t="s">
        <v>25</v>
      </c>
      <c r="C14" s="20" t="s">
        <v>26</v>
      </c>
      <c r="D14" s="20" t="s">
        <v>71</v>
      </c>
      <c r="F14" s="63">
        <v>1</v>
      </c>
      <c r="G14" s="64">
        <v>0.98</v>
      </c>
      <c r="H14" s="61">
        <f t="shared" si="0"/>
        <v>0.98</v>
      </c>
      <c r="I14" s="54" t="s">
        <v>320</v>
      </c>
    </row>
    <row r="15" spans="1:9" ht="135" x14ac:dyDescent="0.25">
      <c r="A15" s="46">
        <v>12</v>
      </c>
      <c r="B15" s="20" t="s">
        <v>25</v>
      </c>
      <c r="C15" s="20" t="s">
        <v>26</v>
      </c>
      <c r="D15" s="20" t="s">
        <v>72</v>
      </c>
      <c r="F15" s="63">
        <v>1</v>
      </c>
      <c r="G15" s="64">
        <v>0.8</v>
      </c>
      <c r="H15" s="61">
        <f t="shared" si="0"/>
        <v>0.8</v>
      </c>
      <c r="I15" s="54" t="s">
        <v>321</v>
      </c>
    </row>
    <row r="16" spans="1:9" s="36" customFormat="1" ht="94.5" x14ac:dyDescent="0.25">
      <c r="A16" s="47">
        <v>13</v>
      </c>
      <c r="B16" s="35" t="s">
        <v>25</v>
      </c>
      <c r="C16" s="35" t="s">
        <v>26</v>
      </c>
      <c r="D16" s="35" t="s">
        <v>73</v>
      </c>
      <c r="F16" s="63">
        <v>1</v>
      </c>
      <c r="G16" s="64">
        <v>0.96</v>
      </c>
      <c r="H16" s="61">
        <f t="shared" si="0"/>
        <v>0.96</v>
      </c>
      <c r="I16" s="57" t="s">
        <v>322</v>
      </c>
    </row>
    <row r="17" spans="1:10" ht="63" x14ac:dyDescent="0.25">
      <c r="A17" s="46">
        <v>14</v>
      </c>
      <c r="B17" s="20" t="s">
        <v>25</v>
      </c>
      <c r="C17" s="20" t="s">
        <v>26</v>
      </c>
      <c r="D17" s="20" t="s">
        <v>74</v>
      </c>
      <c r="F17" s="63">
        <v>1</v>
      </c>
      <c r="G17" s="64">
        <v>1</v>
      </c>
      <c r="H17" s="61">
        <f t="shared" si="0"/>
        <v>1</v>
      </c>
      <c r="I17" s="54" t="s">
        <v>100</v>
      </c>
    </row>
    <row r="18" spans="1:10" ht="110.25" x14ac:dyDescent="0.25">
      <c r="A18" s="46">
        <v>15</v>
      </c>
      <c r="B18" s="20" t="s">
        <v>25</v>
      </c>
      <c r="C18" s="20" t="s">
        <v>26</v>
      </c>
      <c r="D18" s="20" t="s">
        <v>75</v>
      </c>
      <c r="F18" s="63">
        <v>1</v>
      </c>
      <c r="G18" s="64">
        <v>0.9</v>
      </c>
      <c r="H18" s="61">
        <f t="shared" si="0"/>
        <v>0.9</v>
      </c>
      <c r="I18" s="54" t="s">
        <v>323</v>
      </c>
    </row>
    <row r="19" spans="1:10" ht="47.25" x14ac:dyDescent="0.25">
      <c r="A19" s="46">
        <v>16</v>
      </c>
      <c r="B19" s="20" t="s">
        <v>5</v>
      </c>
      <c r="C19" s="40" t="s">
        <v>6</v>
      </c>
      <c r="D19" s="20" t="s">
        <v>76</v>
      </c>
      <c r="F19" s="63">
        <v>1</v>
      </c>
      <c r="G19" s="64">
        <v>1</v>
      </c>
      <c r="H19" s="61">
        <f t="shared" si="0"/>
        <v>1</v>
      </c>
      <c r="I19" s="54" t="s">
        <v>100</v>
      </c>
    </row>
    <row r="20" spans="1:10" ht="120" x14ac:dyDescent="0.25">
      <c r="A20" s="46">
        <v>17</v>
      </c>
      <c r="B20" s="20" t="s">
        <v>5</v>
      </c>
      <c r="C20" s="40" t="s">
        <v>6</v>
      </c>
      <c r="D20" s="20" t="s">
        <v>77</v>
      </c>
      <c r="F20" s="63">
        <v>1</v>
      </c>
      <c r="G20" s="64">
        <v>0.8</v>
      </c>
      <c r="H20" s="61">
        <f t="shared" si="0"/>
        <v>0.8</v>
      </c>
      <c r="I20" s="54" t="s">
        <v>324</v>
      </c>
    </row>
    <row r="21" spans="1:10" s="36" customFormat="1" ht="210" x14ac:dyDescent="0.25">
      <c r="A21" s="47">
        <v>18</v>
      </c>
      <c r="B21" s="35" t="s">
        <v>5</v>
      </c>
      <c r="C21" s="40" t="s">
        <v>6</v>
      </c>
      <c r="D21" s="35" t="s">
        <v>78</v>
      </c>
      <c r="F21" s="63">
        <v>1</v>
      </c>
      <c r="G21" s="64">
        <v>0.9</v>
      </c>
      <c r="H21" s="61">
        <f t="shared" si="0"/>
        <v>0.9</v>
      </c>
      <c r="I21" s="57" t="s">
        <v>275</v>
      </c>
    </row>
    <row r="22" spans="1:10" ht="195" x14ac:dyDescent="0.25">
      <c r="A22" s="46">
        <v>19</v>
      </c>
      <c r="B22" s="20" t="s">
        <v>5</v>
      </c>
      <c r="C22" s="40" t="s">
        <v>6</v>
      </c>
      <c r="D22" s="20" t="s">
        <v>79</v>
      </c>
      <c r="F22" s="63">
        <v>1</v>
      </c>
      <c r="G22" s="64">
        <v>0.89</v>
      </c>
      <c r="H22" s="61">
        <f t="shared" si="0"/>
        <v>0.89</v>
      </c>
      <c r="I22" s="54" t="s">
        <v>325</v>
      </c>
    </row>
    <row r="23" spans="1:10" ht="78.75" x14ac:dyDescent="0.25">
      <c r="A23" s="46">
        <v>20</v>
      </c>
      <c r="B23" s="20" t="s">
        <v>5</v>
      </c>
      <c r="C23" s="40" t="s">
        <v>6</v>
      </c>
      <c r="D23" s="20" t="s">
        <v>80</v>
      </c>
      <c r="F23" s="63">
        <v>1</v>
      </c>
      <c r="G23" s="64">
        <v>1</v>
      </c>
      <c r="H23" s="61">
        <f t="shared" si="0"/>
        <v>1</v>
      </c>
      <c r="I23" s="57" t="s">
        <v>100</v>
      </c>
    </row>
    <row r="24" spans="1:10" ht="141.75" x14ac:dyDescent="0.25">
      <c r="A24" s="46">
        <v>21</v>
      </c>
      <c r="B24" s="20" t="s">
        <v>5</v>
      </c>
      <c r="C24" s="40" t="s">
        <v>6</v>
      </c>
      <c r="D24" s="20" t="s">
        <v>81</v>
      </c>
      <c r="F24" s="63">
        <v>1</v>
      </c>
      <c r="G24" s="64">
        <v>1</v>
      </c>
      <c r="H24" s="61">
        <f t="shared" si="0"/>
        <v>1</v>
      </c>
      <c r="I24" s="54" t="s">
        <v>100</v>
      </c>
      <c r="J24" s="1" t="s">
        <v>24</v>
      </c>
    </row>
    <row r="25" spans="1:10" s="34" customFormat="1" ht="150" customHeight="1" x14ac:dyDescent="0.25">
      <c r="A25" s="47">
        <v>22</v>
      </c>
      <c r="B25" s="35" t="s">
        <v>5</v>
      </c>
      <c r="C25" s="35" t="s">
        <v>6</v>
      </c>
      <c r="D25" s="35" t="s">
        <v>82</v>
      </c>
      <c r="F25" s="63">
        <v>1</v>
      </c>
      <c r="G25" s="64">
        <v>1</v>
      </c>
      <c r="H25" s="61">
        <f t="shared" si="0"/>
        <v>1</v>
      </c>
      <c r="I25" s="58" t="s">
        <v>100</v>
      </c>
    </row>
    <row r="26" spans="1:10" ht="173.25" x14ac:dyDescent="0.25">
      <c r="A26" s="46">
        <v>23</v>
      </c>
      <c r="B26" s="20" t="s">
        <v>5</v>
      </c>
      <c r="C26" s="20" t="s">
        <v>6</v>
      </c>
      <c r="D26" s="20" t="s">
        <v>83</v>
      </c>
      <c r="F26" s="63">
        <v>1</v>
      </c>
      <c r="G26" s="64">
        <v>0.9</v>
      </c>
      <c r="H26" s="61">
        <f t="shared" si="0"/>
        <v>0.9</v>
      </c>
      <c r="I26" s="54" t="s">
        <v>326</v>
      </c>
    </row>
    <row r="27" spans="1:10" ht="75" x14ac:dyDescent="0.25">
      <c r="A27" s="46">
        <v>24</v>
      </c>
      <c r="B27" s="20" t="s">
        <v>5</v>
      </c>
      <c r="C27" s="20" t="s">
        <v>6</v>
      </c>
      <c r="D27" s="20" t="s">
        <v>84</v>
      </c>
      <c r="F27" s="63">
        <v>1</v>
      </c>
      <c r="G27" s="64">
        <v>0.85</v>
      </c>
      <c r="H27" s="61">
        <f t="shared" si="0"/>
        <v>0.85</v>
      </c>
      <c r="I27" s="54" t="s">
        <v>269</v>
      </c>
    </row>
    <row r="28" spans="1:10" ht="94.5" x14ac:dyDescent="0.25">
      <c r="A28" s="46">
        <v>25</v>
      </c>
      <c r="B28" s="20" t="s">
        <v>5</v>
      </c>
      <c r="C28" s="20" t="s">
        <v>6</v>
      </c>
      <c r="D28" s="20" t="s">
        <v>85</v>
      </c>
      <c r="F28" s="63">
        <v>1</v>
      </c>
      <c r="G28" s="64">
        <v>1</v>
      </c>
      <c r="H28" s="61">
        <f t="shared" si="0"/>
        <v>1</v>
      </c>
      <c r="I28" s="54" t="s">
        <v>100</v>
      </c>
    </row>
    <row r="29" spans="1:10" ht="63" x14ac:dyDescent="0.25">
      <c r="A29" s="46">
        <v>26</v>
      </c>
      <c r="B29" s="20" t="s">
        <v>5</v>
      </c>
      <c r="C29" s="20" t="s">
        <v>6</v>
      </c>
      <c r="D29" s="20" t="s">
        <v>86</v>
      </c>
      <c r="F29" s="63">
        <v>1</v>
      </c>
      <c r="G29" s="64">
        <v>1</v>
      </c>
      <c r="H29" s="61">
        <f t="shared" si="0"/>
        <v>1</v>
      </c>
      <c r="I29" s="54" t="s">
        <v>100</v>
      </c>
    </row>
    <row r="30" spans="1:10" ht="150" x14ac:dyDescent="0.25">
      <c r="A30" s="46">
        <v>27</v>
      </c>
      <c r="B30" s="20" t="s">
        <v>5</v>
      </c>
      <c r="C30" s="42" t="s">
        <v>7</v>
      </c>
      <c r="D30" s="20" t="s">
        <v>87</v>
      </c>
      <c r="F30" s="63">
        <v>1</v>
      </c>
      <c r="G30" s="64">
        <v>0.9</v>
      </c>
      <c r="H30" s="61">
        <f t="shared" si="0"/>
        <v>0.9</v>
      </c>
      <c r="I30" s="54" t="s">
        <v>239</v>
      </c>
    </row>
    <row r="31" spans="1:10" ht="90" x14ac:dyDescent="0.25">
      <c r="A31" s="46">
        <v>28</v>
      </c>
      <c r="B31" s="20" t="s">
        <v>5</v>
      </c>
      <c r="C31" s="42" t="s">
        <v>7</v>
      </c>
      <c r="D31" s="20" t="s">
        <v>88</v>
      </c>
      <c r="F31" s="63">
        <v>1</v>
      </c>
      <c r="G31" s="64">
        <v>0.93</v>
      </c>
      <c r="H31" s="61">
        <f t="shared" si="0"/>
        <v>0.93</v>
      </c>
      <c r="I31" s="54" t="s">
        <v>255</v>
      </c>
    </row>
    <row r="32" spans="1:10" ht="47.25" x14ac:dyDescent="0.25">
      <c r="A32" s="46">
        <v>29</v>
      </c>
      <c r="B32" s="20" t="s">
        <v>5</v>
      </c>
      <c r="C32" s="42" t="s">
        <v>7</v>
      </c>
      <c r="D32" s="20" t="s">
        <v>89</v>
      </c>
      <c r="F32" s="59">
        <v>1</v>
      </c>
      <c r="G32" s="60">
        <v>1</v>
      </c>
      <c r="H32" s="61">
        <f t="shared" si="0"/>
        <v>1</v>
      </c>
      <c r="I32" s="54" t="s">
        <v>100</v>
      </c>
    </row>
    <row r="33" spans="1:9" ht="110.25" x14ac:dyDescent="0.25">
      <c r="A33" s="46">
        <v>30</v>
      </c>
      <c r="B33" s="20" t="s">
        <v>5</v>
      </c>
      <c r="C33" s="42" t="s">
        <v>7</v>
      </c>
      <c r="D33" s="20" t="s">
        <v>90</v>
      </c>
      <c r="F33" s="59">
        <v>1</v>
      </c>
      <c r="G33" s="60">
        <v>0.5</v>
      </c>
      <c r="H33" s="61">
        <f t="shared" si="0"/>
        <v>0.5</v>
      </c>
      <c r="I33" s="54" t="s">
        <v>205</v>
      </c>
    </row>
    <row r="34" spans="1:9" s="36" customFormat="1" ht="94.5" customHeight="1" x14ac:dyDescent="0.25">
      <c r="A34" s="47">
        <v>31</v>
      </c>
      <c r="B34" s="35" t="s">
        <v>8</v>
      </c>
      <c r="C34" s="35" t="s">
        <v>9</v>
      </c>
      <c r="D34" s="44" t="s">
        <v>169</v>
      </c>
      <c r="F34" s="66">
        <v>1</v>
      </c>
      <c r="G34" s="67">
        <v>1</v>
      </c>
      <c r="H34" s="61">
        <f t="shared" si="0"/>
        <v>1</v>
      </c>
      <c r="I34" s="57" t="s">
        <v>100</v>
      </c>
    </row>
    <row r="35" spans="1:9" ht="78.75" x14ac:dyDescent="0.25">
      <c r="A35" s="46">
        <v>32</v>
      </c>
      <c r="B35" s="40" t="s">
        <v>8</v>
      </c>
      <c r="C35" s="40" t="s">
        <v>9</v>
      </c>
      <c r="D35" s="22" t="s">
        <v>92</v>
      </c>
      <c r="F35" s="59">
        <v>1</v>
      </c>
      <c r="G35" s="60">
        <v>1</v>
      </c>
      <c r="H35" s="61">
        <f t="shared" si="0"/>
        <v>1</v>
      </c>
      <c r="I35" s="57" t="s">
        <v>100</v>
      </c>
    </row>
    <row r="36" spans="1:9" ht="47.25" x14ac:dyDescent="0.25">
      <c r="A36" s="46">
        <v>33</v>
      </c>
      <c r="B36" s="40" t="s">
        <v>8</v>
      </c>
      <c r="C36" s="40" t="s">
        <v>9</v>
      </c>
      <c r="D36" s="20" t="s">
        <v>93</v>
      </c>
      <c r="F36" s="59">
        <v>1</v>
      </c>
      <c r="G36" s="60">
        <v>1</v>
      </c>
      <c r="H36" s="61">
        <f t="shared" si="0"/>
        <v>1</v>
      </c>
      <c r="I36" s="57" t="s">
        <v>100</v>
      </c>
    </row>
    <row r="37" spans="1:9" ht="94.5" x14ac:dyDescent="0.25">
      <c r="A37" s="46">
        <v>34</v>
      </c>
      <c r="B37" s="40" t="s">
        <v>8</v>
      </c>
      <c r="C37" s="40" t="s">
        <v>9</v>
      </c>
      <c r="D37" s="20" t="s">
        <v>94</v>
      </c>
      <c r="F37" s="59">
        <v>1</v>
      </c>
      <c r="G37" s="60">
        <v>1</v>
      </c>
      <c r="H37" s="61">
        <f t="shared" si="0"/>
        <v>1</v>
      </c>
      <c r="I37" s="57" t="s">
        <v>100</v>
      </c>
    </row>
    <row r="38" spans="1:9" ht="63" x14ac:dyDescent="0.25">
      <c r="A38" s="46">
        <v>35</v>
      </c>
      <c r="B38" s="40" t="s">
        <v>8</v>
      </c>
      <c r="C38" s="40" t="s">
        <v>9</v>
      </c>
      <c r="D38" s="20" t="s">
        <v>95</v>
      </c>
      <c r="F38" s="59">
        <v>1</v>
      </c>
      <c r="G38" s="60">
        <v>1</v>
      </c>
      <c r="H38" s="61">
        <f t="shared" si="0"/>
        <v>1</v>
      </c>
      <c r="I38" s="57" t="s">
        <v>100</v>
      </c>
    </row>
    <row r="39" spans="1:9" ht="94.5" x14ac:dyDescent="0.25">
      <c r="A39" s="46">
        <v>36</v>
      </c>
      <c r="B39" s="40" t="s">
        <v>8</v>
      </c>
      <c r="C39" s="40" t="s">
        <v>9</v>
      </c>
      <c r="D39" s="20" t="s">
        <v>96</v>
      </c>
      <c r="F39" s="59">
        <v>1</v>
      </c>
      <c r="G39" s="60">
        <v>1</v>
      </c>
      <c r="H39" s="61">
        <f t="shared" si="0"/>
        <v>1</v>
      </c>
      <c r="I39" s="57" t="s">
        <v>100</v>
      </c>
    </row>
    <row r="40" spans="1:9" ht="47.25" x14ac:dyDescent="0.25">
      <c r="A40" s="46">
        <v>37</v>
      </c>
      <c r="B40" s="40" t="s">
        <v>8</v>
      </c>
      <c r="C40" s="40" t="s">
        <v>9</v>
      </c>
      <c r="D40" s="20" t="s">
        <v>179</v>
      </c>
      <c r="F40" s="59">
        <v>1</v>
      </c>
      <c r="G40" s="60">
        <v>1</v>
      </c>
      <c r="H40" s="61">
        <f t="shared" si="0"/>
        <v>1</v>
      </c>
      <c r="I40" s="57" t="s">
        <v>100</v>
      </c>
    </row>
    <row r="41" spans="1:9" s="36" customFormat="1" ht="63" x14ac:dyDescent="0.25">
      <c r="A41" s="47">
        <v>38</v>
      </c>
      <c r="B41" s="35" t="s">
        <v>8</v>
      </c>
      <c r="C41" s="35" t="s">
        <v>9</v>
      </c>
      <c r="D41" s="35" t="s">
        <v>171</v>
      </c>
      <c r="F41" s="66">
        <v>1</v>
      </c>
      <c r="G41" s="67">
        <v>0.95</v>
      </c>
      <c r="H41" s="61">
        <f t="shared" si="0"/>
        <v>0.95</v>
      </c>
      <c r="I41" s="57" t="s">
        <v>173</v>
      </c>
    </row>
    <row r="42" spans="1:9" s="36" customFormat="1" ht="126" x14ac:dyDescent="0.25">
      <c r="A42" s="47">
        <v>39</v>
      </c>
      <c r="B42" s="20" t="s">
        <v>10</v>
      </c>
      <c r="C42" s="20" t="s">
        <v>28</v>
      </c>
      <c r="D42" s="35" t="s">
        <v>52</v>
      </c>
      <c r="F42" s="66">
        <v>1</v>
      </c>
      <c r="G42" s="67">
        <v>1</v>
      </c>
      <c r="H42" s="61">
        <f t="shared" si="0"/>
        <v>1</v>
      </c>
      <c r="I42" s="58" t="s">
        <v>100</v>
      </c>
    </row>
    <row r="43" spans="1:9" ht="78.75" x14ac:dyDescent="0.25">
      <c r="A43" s="46">
        <v>40</v>
      </c>
      <c r="B43" s="20" t="s">
        <v>10</v>
      </c>
      <c r="C43" s="20" t="s">
        <v>27</v>
      </c>
      <c r="D43" s="20" t="s">
        <v>53</v>
      </c>
      <c r="F43" s="59">
        <v>1</v>
      </c>
      <c r="G43" s="60">
        <v>1</v>
      </c>
      <c r="H43" s="61">
        <f t="shared" si="0"/>
        <v>1</v>
      </c>
      <c r="I43" s="54" t="s">
        <v>100</v>
      </c>
    </row>
    <row r="44" spans="1:9" ht="285" x14ac:dyDescent="0.25">
      <c r="A44" s="46">
        <v>41</v>
      </c>
      <c r="B44" s="20" t="s">
        <v>10</v>
      </c>
      <c r="C44" s="20" t="s">
        <v>27</v>
      </c>
      <c r="D44" s="20" t="s">
        <v>99</v>
      </c>
      <c r="F44" s="59">
        <v>1</v>
      </c>
      <c r="G44" s="60">
        <v>0.75</v>
      </c>
      <c r="H44" s="61">
        <f t="shared" si="0"/>
        <v>0.75</v>
      </c>
      <c r="I44" s="55" t="s">
        <v>180</v>
      </c>
    </row>
    <row r="45" spans="1:9" ht="207" customHeight="1" x14ac:dyDescent="0.25">
      <c r="A45" s="46">
        <v>42</v>
      </c>
      <c r="B45" s="20" t="s">
        <v>10</v>
      </c>
      <c r="C45" s="20" t="s">
        <v>10</v>
      </c>
      <c r="D45" s="20" t="s">
        <v>54</v>
      </c>
      <c r="F45" s="59">
        <v>1</v>
      </c>
      <c r="G45" s="60">
        <v>0.82</v>
      </c>
      <c r="H45" s="61">
        <f t="shared" si="0"/>
        <v>0.82</v>
      </c>
      <c r="I45" s="55" t="s">
        <v>157</v>
      </c>
    </row>
    <row r="46" spans="1:9" ht="240.75" customHeight="1" x14ac:dyDescent="0.25">
      <c r="A46" s="46">
        <v>43</v>
      </c>
      <c r="B46" s="20" t="s">
        <v>10</v>
      </c>
      <c r="C46" s="20" t="s">
        <v>29</v>
      </c>
      <c r="D46" s="20" t="s">
        <v>55</v>
      </c>
      <c r="F46" s="59">
        <v>1</v>
      </c>
      <c r="G46" s="60">
        <v>0.85</v>
      </c>
      <c r="H46" s="61">
        <f t="shared" si="0"/>
        <v>0.85</v>
      </c>
      <c r="I46" s="55" t="s">
        <v>117</v>
      </c>
    </row>
    <row r="47" spans="1:9" s="41" customFormat="1" ht="315" x14ac:dyDescent="0.25">
      <c r="A47" s="45">
        <v>44</v>
      </c>
      <c r="B47" s="20" t="s">
        <v>10</v>
      </c>
      <c r="C47" s="20" t="s">
        <v>10</v>
      </c>
      <c r="D47" s="35" t="s">
        <v>56</v>
      </c>
      <c r="F47" s="63">
        <v>1</v>
      </c>
      <c r="G47" s="64">
        <v>0.75</v>
      </c>
      <c r="H47" s="61">
        <f t="shared" si="0"/>
        <v>0.75</v>
      </c>
      <c r="I47" s="56" t="s">
        <v>162</v>
      </c>
    </row>
    <row r="48" spans="1:9" ht="110.25" x14ac:dyDescent="0.25">
      <c r="A48" s="46">
        <v>45</v>
      </c>
      <c r="B48" s="20" t="s">
        <v>10</v>
      </c>
      <c r="C48" s="20" t="s">
        <v>10</v>
      </c>
      <c r="D48" s="20" t="s">
        <v>57</v>
      </c>
      <c r="F48" s="59">
        <v>1</v>
      </c>
      <c r="G48" s="60">
        <v>0.98</v>
      </c>
      <c r="H48" s="61">
        <f t="shared" si="0"/>
        <v>0.98</v>
      </c>
      <c r="I48" s="55" t="s">
        <v>101</v>
      </c>
    </row>
    <row r="49" spans="1:9" ht="195" x14ac:dyDescent="0.25">
      <c r="A49" s="46">
        <v>46</v>
      </c>
      <c r="B49" s="20" t="s">
        <v>10</v>
      </c>
      <c r="C49" s="20" t="s">
        <v>10</v>
      </c>
      <c r="D49" s="20" t="s">
        <v>58</v>
      </c>
      <c r="F49" s="59">
        <v>1</v>
      </c>
      <c r="G49" s="60">
        <v>0.93</v>
      </c>
      <c r="H49" s="61">
        <f t="shared" si="0"/>
        <v>0.93</v>
      </c>
      <c r="I49" s="57" t="s">
        <v>104</v>
      </c>
    </row>
    <row r="50" spans="1:9" s="36" customFormat="1" ht="90.75" customHeight="1" x14ac:dyDescent="0.25">
      <c r="A50" s="47">
        <v>47</v>
      </c>
      <c r="B50" s="35" t="s">
        <v>10</v>
      </c>
      <c r="C50" s="35" t="s">
        <v>10</v>
      </c>
      <c r="D50" s="35" t="s">
        <v>59</v>
      </c>
      <c r="F50" s="66">
        <v>1</v>
      </c>
      <c r="G50" s="67">
        <v>0.95</v>
      </c>
      <c r="H50" s="61">
        <f t="shared" si="0"/>
        <v>0.95</v>
      </c>
      <c r="I50" s="58" t="s">
        <v>151</v>
      </c>
    </row>
    <row r="51" spans="1:9" ht="142.5" customHeight="1" x14ac:dyDescent="0.25">
      <c r="A51" s="46">
        <v>48</v>
      </c>
      <c r="B51" s="20" t="s">
        <v>10</v>
      </c>
      <c r="C51" s="20" t="s">
        <v>10</v>
      </c>
      <c r="D51" s="20" t="s">
        <v>60</v>
      </c>
      <c r="F51" s="59">
        <v>1</v>
      </c>
      <c r="G51" s="60">
        <v>1</v>
      </c>
      <c r="H51" s="61">
        <f t="shared" si="0"/>
        <v>1</v>
      </c>
      <c r="I51" s="54" t="s">
        <v>100</v>
      </c>
    </row>
  </sheetData>
  <mergeCells count="2">
    <mergeCell ref="B2:D2"/>
    <mergeCell ref="F2:I2"/>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1"/>
  <sheetViews>
    <sheetView zoomScaleNormal="100" workbookViewId="0">
      <pane xSplit="4" ySplit="3" topLeftCell="E50" activePane="bottomRight" state="frozen"/>
      <selection pane="topRight" activeCell="E1" sqref="E1"/>
      <selection pane="bottomLeft" activeCell="A4" sqref="A4"/>
      <selection pane="bottomRight" activeCell="H52" sqref="H52"/>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94.5" x14ac:dyDescent="0.25">
      <c r="A4" s="45">
        <v>1</v>
      </c>
      <c r="B4" s="40" t="s">
        <v>3</v>
      </c>
      <c r="C4" s="40" t="s">
        <v>4</v>
      </c>
      <c r="D4" s="40" t="s">
        <v>61</v>
      </c>
      <c r="F4" s="63">
        <v>1</v>
      </c>
      <c r="G4" s="64">
        <v>0.97</v>
      </c>
      <c r="H4" s="61">
        <f>F4*G4</f>
        <v>0.97</v>
      </c>
      <c r="I4" s="65" t="s">
        <v>337</v>
      </c>
    </row>
    <row r="5" spans="1:9" ht="126" x14ac:dyDescent="0.25">
      <c r="A5" s="46">
        <v>2</v>
      </c>
      <c r="B5" s="20" t="s">
        <v>3</v>
      </c>
      <c r="C5" s="20" t="s">
        <v>4</v>
      </c>
      <c r="D5" s="20" t="s">
        <v>62</v>
      </c>
      <c r="F5" s="59">
        <v>1</v>
      </c>
      <c r="G5" s="60">
        <v>1</v>
      </c>
      <c r="H5" s="61">
        <f t="shared" ref="H5:H51" si="0">F5*G5</f>
        <v>1</v>
      </c>
      <c r="I5" s="54" t="s">
        <v>100</v>
      </c>
    </row>
    <row r="6" spans="1:9" ht="78.75" x14ac:dyDescent="0.25">
      <c r="A6" s="46">
        <v>3</v>
      </c>
      <c r="B6" s="20" t="s">
        <v>3</v>
      </c>
      <c r="C6" s="20" t="s">
        <v>4</v>
      </c>
      <c r="D6" s="20" t="s">
        <v>63</v>
      </c>
      <c r="F6" s="63">
        <v>1</v>
      </c>
      <c r="G6" s="64">
        <v>1</v>
      </c>
      <c r="H6" s="61">
        <f t="shared" si="0"/>
        <v>1</v>
      </c>
      <c r="I6" s="54" t="s">
        <v>100</v>
      </c>
    </row>
    <row r="7" spans="1:9" ht="78.75" x14ac:dyDescent="0.25">
      <c r="A7" s="46">
        <v>4</v>
      </c>
      <c r="B7" s="20" t="s">
        <v>3</v>
      </c>
      <c r="C7" s="20" t="s">
        <v>4</v>
      </c>
      <c r="D7" s="20" t="s">
        <v>64</v>
      </c>
      <c r="F7" s="63">
        <v>1</v>
      </c>
      <c r="G7" s="64">
        <v>1</v>
      </c>
      <c r="H7" s="61">
        <f t="shared" si="0"/>
        <v>1</v>
      </c>
      <c r="I7" s="54" t="s">
        <v>100</v>
      </c>
    </row>
    <row r="8" spans="1:9" ht="409.5" x14ac:dyDescent="0.25">
      <c r="A8" s="46">
        <v>5</v>
      </c>
      <c r="B8" s="20" t="s">
        <v>3</v>
      </c>
      <c r="C8" s="20" t="s">
        <v>4</v>
      </c>
      <c r="D8" s="20" t="s">
        <v>65</v>
      </c>
      <c r="F8" s="63">
        <v>1</v>
      </c>
      <c r="G8" s="64">
        <v>0.81</v>
      </c>
      <c r="H8" s="61">
        <f t="shared" si="0"/>
        <v>0.81</v>
      </c>
      <c r="I8" s="54" t="s">
        <v>358</v>
      </c>
    </row>
    <row r="9" spans="1:9" s="36" customFormat="1" ht="409.5" x14ac:dyDescent="0.25">
      <c r="A9" s="47">
        <v>6</v>
      </c>
      <c r="B9" s="35" t="s">
        <v>3</v>
      </c>
      <c r="C9" s="35" t="s">
        <v>4</v>
      </c>
      <c r="D9" s="35" t="s">
        <v>66</v>
      </c>
      <c r="F9" s="63">
        <v>1</v>
      </c>
      <c r="G9" s="64">
        <v>0.85</v>
      </c>
      <c r="H9" s="61">
        <f t="shared" si="0"/>
        <v>0.85</v>
      </c>
      <c r="I9" s="58" t="s">
        <v>359</v>
      </c>
    </row>
    <row r="10" spans="1:9" ht="78.75" x14ac:dyDescent="0.25">
      <c r="A10" s="46">
        <v>7</v>
      </c>
      <c r="B10" s="20" t="s">
        <v>3</v>
      </c>
      <c r="C10" s="20" t="s">
        <v>4</v>
      </c>
      <c r="D10" s="20" t="s">
        <v>67</v>
      </c>
      <c r="F10" s="63">
        <v>1</v>
      </c>
      <c r="G10" s="64">
        <v>0.95</v>
      </c>
      <c r="H10" s="61">
        <f t="shared" si="0"/>
        <v>0.95</v>
      </c>
      <c r="I10" s="54" t="s">
        <v>360</v>
      </c>
    </row>
    <row r="11" spans="1:9" ht="78.75" x14ac:dyDescent="0.25">
      <c r="A11" s="46">
        <v>8</v>
      </c>
      <c r="B11" s="20" t="s">
        <v>3</v>
      </c>
      <c r="C11" s="20" t="s">
        <v>4</v>
      </c>
      <c r="D11" s="20" t="s">
        <v>68</v>
      </c>
      <c r="F11" s="63">
        <v>1</v>
      </c>
      <c r="G11" s="64">
        <v>1</v>
      </c>
      <c r="H11" s="61">
        <f t="shared" si="0"/>
        <v>1</v>
      </c>
      <c r="I11" s="55" t="s">
        <v>100</v>
      </c>
    </row>
    <row r="12" spans="1:9" ht="409.5" x14ac:dyDescent="0.25">
      <c r="A12" s="46">
        <v>9</v>
      </c>
      <c r="B12" s="20" t="s">
        <v>3</v>
      </c>
      <c r="C12" s="20" t="s">
        <v>4</v>
      </c>
      <c r="D12" s="20" t="s">
        <v>69</v>
      </c>
      <c r="F12" s="63">
        <v>1</v>
      </c>
      <c r="G12" s="64">
        <v>0.7</v>
      </c>
      <c r="H12" s="61">
        <f t="shared" si="0"/>
        <v>0.7</v>
      </c>
      <c r="I12" s="54" t="s">
        <v>361</v>
      </c>
    </row>
    <row r="13" spans="1:9" s="36" customFormat="1" ht="225" x14ac:dyDescent="0.25">
      <c r="A13" s="47">
        <v>10</v>
      </c>
      <c r="B13" s="35" t="s">
        <v>3</v>
      </c>
      <c r="C13" s="20" t="s">
        <v>4</v>
      </c>
      <c r="D13" s="35" t="s">
        <v>70</v>
      </c>
      <c r="F13" s="63">
        <v>1</v>
      </c>
      <c r="G13" s="64">
        <v>0.93</v>
      </c>
      <c r="H13" s="61">
        <f t="shared" si="0"/>
        <v>0.93</v>
      </c>
      <c r="I13" s="57" t="s">
        <v>362</v>
      </c>
    </row>
    <row r="14" spans="1:9" ht="110.25" x14ac:dyDescent="0.25">
      <c r="A14" s="46">
        <v>11</v>
      </c>
      <c r="B14" s="20" t="s">
        <v>25</v>
      </c>
      <c r="C14" s="20" t="s">
        <v>26</v>
      </c>
      <c r="D14" s="20" t="s">
        <v>71</v>
      </c>
      <c r="F14" s="63">
        <v>1</v>
      </c>
      <c r="G14" s="64">
        <v>1</v>
      </c>
      <c r="H14" s="61">
        <f t="shared" si="0"/>
        <v>1</v>
      </c>
      <c r="I14" s="54" t="s">
        <v>100</v>
      </c>
    </row>
    <row r="15" spans="1:9" ht="150" x14ac:dyDescent="0.25">
      <c r="A15" s="46">
        <v>12</v>
      </c>
      <c r="B15" s="20" t="s">
        <v>25</v>
      </c>
      <c r="C15" s="20" t="s">
        <v>26</v>
      </c>
      <c r="D15" s="20" t="s">
        <v>72</v>
      </c>
      <c r="F15" s="63">
        <v>1</v>
      </c>
      <c r="G15" s="64">
        <v>0.85</v>
      </c>
      <c r="H15" s="61">
        <f t="shared" si="0"/>
        <v>0.85</v>
      </c>
      <c r="I15" s="54" t="s">
        <v>257</v>
      </c>
    </row>
    <row r="16" spans="1:9" s="36" customFormat="1" ht="94.5" x14ac:dyDescent="0.25">
      <c r="A16" s="47">
        <v>13</v>
      </c>
      <c r="B16" s="35" t="s">
        <v>25</v>
      </c>
      <c r="C16" s="35" t="s">
        <v>26</v>
      </c>
      <c r="D16" s="35" t="s">
        <v>73</v>
      </c>
      <c r="F16" s="63">
        <v>1</v>
      </c>
      <c r="G16" s="64">
        <v>1</v>
      </c>
      <c r="H16" s="61">
        <f t="shared" si="0"/>
        <v>1</v>
      </c>
      <c r="I16" s="57" t="s">
        <v>100</v>
      </c>
    </row>
    <row r="17" spans="1:10" ht="63" x14ac:dyDescent="0.25">
      <c r="A17" s="46">
        <v>14</v>
      </c>
      <c r="B17" s="20" t="s">
        <v>25</v>
      </c>
      <c r="C17" s="20" t="s">
        <v>26</v>
      </c>
      <c r="D17" s="20" t="s">
        <v>74</v>
      </c>
      <c r="F17" s="63">
        <v>1</v>
      </c>
      <c r="G17" s="64">
        <v>1</v>
      </c>
      <c r="H17" s="61">
        <f t="shared" si="0"/>
        <v>1</v>
      </c>
      <c r="I17" s="54" t="s">
        <v>100</v>
      </c>
    </row>
    <row r="18" spans="1:10" ht="110.25" x14ac:dyDescent="0.25">
      <c r="A18" s="46">
        <v>15</v>
      </c>
      <c r="B18" s="20" t="s">
        <v>25</v>
      </c>
      <c r="C18" s="20" t="s">
        <v>26</v>
      </c>
      <c r="D18" s="20" t="s">
        <v>75</v>
      </c>
      <c r="F18" s="63">
        <v>1</v>
      </c>
      <c r="G18" s="64">
        <v>1</v>
      </c>
      <c r="H18" s="61">
        <f t="shared" si="0"/>
        <v>1</v>
      </c>
      <c r="I18" s="54" t="s">
        <v>100</v>
      </c>
    </row>
    <row r="19" spans="1:10" ht="47.25" x14ac:dyDescent="0.25">
      <c r="A19" s="46">
        <v>16</v>
      </c>
      <c r="B19" s="20" t="s">
        <v>5</v>
      </c>
      <c r="C19" s="40" t="s">
        <v>6</v>
      </c>
      <c r="D19" s="20" t="s">
        <v>76</v>
      </c>
      <c r="F19" s="63">
        <v>1</v>
      </c>
      <c r="G19" s="64">
        <v>1</v>
      </c>
      <c r="H19" s="61">
        <f t="shared" si="0"/>
        <v>1</v>
      </c>
      <c r="I19" s="54" t="s">
        <v>100</v>
      </c>
    </row>
    <row r="20" spans="1:10" ht="90" x14ac:dyDescent="0.25">
      <c r="A20" s="46">
        <v>17</v>
      </c>
      <c r="B20" s="20" t="s">
        <v>5</v>
      </c>
      <c r="C20" s="40" t="s">
        <v>6</v>
      </c>
      <c r="D20" s="20" t="s">
        <v>77</v>
      </c>
      <c r="F20" s="63">
        <v>1</v>
      </c>
      <c r="G20" s="64">
        <v>0.95</v>
      </c>
      <c r="H20" s="61">
        <f t="shared" si="0"/>
        <v>0.95</v>
      </c>
      <c r="I20" s="54" t="s">
        <v>258</v>
      </c>
    </row>
    <row r="21" spans="1:10" s="36" customFormat="1" ht="405" x14ac:dyDescent="0.25">
      <c r="A21" s="47">
        <v>18</v>
      </c>
      <c r="B21" s="35" t="s">
        <v>5</v>
      </c>
      <c r="C21" s="40" t="s">
        <v>6</v>
      </c>
      <c r="D21" s="35" t="s">
        <v>78</v>
      </c>
      <c r="F21" s="63">
        <v>1</v>
      </c>
      <c r="G21" s="64">
        <v>0.75</v>
      </c>
      <c r="H21" s="61">
        <f t="shared" si="0"/>
        <v>0.75</v>
      </c>
      <c r="I21" s="57" t="s">
        <v>259</v>
      </c>
    </row>
    <row r="22" spans="1:10" ht="330" x14ac:dyDescent="0.25">
      <c r="A22" s="46">
        <v>19</v>
      </c>
      <c r="B22" s="20" t="s">
        <v>5</v>
      </c>
      <c r="C22" s="40" t="s">
        <v>6</v>
      </c>
      <c r="D22" s="20" t="s">
        <v>79</v>
      </c>
      <c r="F22" s="63">
        <v>1</v>
      </c>
      <c r="G22" s="64">
        <v>0.76</v>
      </c>
      <c r="H22" s="61">
        <f t="shared" si="0"/>
        <v>0.76</v>
      </c>
      <c r="I22" s="54" t="s">
        <v>263</v>
      </c>
    </row>
    <row r="23" spans="1:10" ht="90" x14ac:dyDescent="0.25">
      <c r="A23" s="46">
        <v>20</v>
      </c>
      <c r="B23" s="20" t="s">
        <v>5</v>
      </c>
      <c r="C23" s="40" t="s">
        <v>6</v>
      </c>
      <c r="D23" s="20" t="s">
        <v>80</v>
      </c>
      <c r="F23" s="63">
        <v>1</v>
      </c>
      <c r="G23" s="64">
        <v>0.9</v>
      </c>
      <c r="H23" s="61">
        <f t="shared" si="0"/>
        <v>0.9</v>
      </c>
      <c r="I23" s="57" t="s">
        <v>238</v>
      </c>
    </row>
    <row r="24" spans="1:10" ht="141.75" x14ac:dyDescent="0.25">
      <c r="A24" s="46">
        <v>21</v>
      </c>
      <c r="B24" s="20" t="s">
        <v>5</v>
      </c>
      <c r="C24" s="40" t="s">
        <v>6</v>
      </c>
      <c r="D24" s="20" t="s">
        <v>81</v>
      </c>
      <c r="F24" s="63">
        <v>1</v>
      </c>
      <c r="G24" s="64">
        <v>1</v>
      </c>
      <c r="H24" s="61">
        <f t="shared" si="0"/>
        <v>1</v>
      </c>
      <c r="I24" s="54" t="s">
        <v>100</v>
      </c>
      <c r="J24" s="1" t="s">
        <v>24</v>
      </c>
    </row>
    <row r="25" spans="1:10" s="34" customFormat="1" ht="150" customHeight="1" x14ac:dyDescent="0.25">
      <c r="A25" s="47">
        <v>22</v>
      </c>
      <c r="B25" s="35" t="s">
        <v>5</v>
      </c>
      <c r="C25" s="35" t="s">
        <v>6</v>
      </c>
      <c r="D25" s="35" t="s">
        <v>82</v>
      </c>
      <c r="F25" s="63">
        <v>1</v>
      </c>
      <c r="G25" s="64">
        <v>0.9</v>
      </c>
      <c r="H25" s="61">
        <f t="shared" si="0"/>
        <v>0.9</v>
      </c>
      <c r="I25" s="58" t="s">
        <v>260</v>
      </c>
    </row>
    <row r="26" spans="1:10" ht="173.25" x14ac:dyDescent="0.25">
      <c r="A26" s="46">
        <v>23</v>
      </c>
      <c r="B26" s="20" t="s">
        <v>5</v>
      </c>
      <c r="C26" s="20" t="s">
        <v>6</v>
      </c>
      <c r="D26" s="20" t="s">
        <v>83</v>
      </c>
      <c r="F26" s="63">
        <v>1</v>
      </c>
      <c r="G26" s="64">
        <v>1</v>
      </c>
      <c r="H26" s="61">
        <f t="shared" si="0"/>
        <v>1</v>
      </c>
      <c r="I26" s="54" t="s">
        <v>100</v>
      </c>
    </row>
    <row r="27" spans="1:10" ht="75" x14ac:dyDescent="0.25">
      <c r="A27" s="46">
        <v>24</v>
      </c>
      <c r="B27" s="20" t="s">
        <v>5</v>
      </c>
      <c r="C27" s="20" t="s">
        <v>6</v>
      </c>
      <c r="D27" s="20" t="s">
        <v>84</v>
      </c>
      <c r="F27" s="63">
        <v>1</v>
      </c>
      <c r="G27" s="64">
        <v>0.85</v>
      </c>
      <c r="H27" s="61">
        <f t="shared" si="0"/>
        <v>0.85</v>
      </c>
      <c r="I27" s="54" t="s">
        <v>261</v>
      </c>
    </row>
    <row r="28" spans="1:10" ht="94.5" x14ac:dyDescent="0.25">
      <c r="A28" s="46">
        <v>25</v>
      </c>
      <c r="B28" s="20" t="s">
        <v>5</v>
      </c>
      <c r="C28" s="20" t="s">
        <v>6</v>
      </c>
      <c r="D28" s="20" t="s">
        <v>85</v>
      </c>
      <c r="F28" s="63">
        <v>1</v>
      </c>
      <c r="G28" s="64">
        <v>1</v>
      </c>
      <c r="H28" s="61">
        <f t="shared" si="0"/>
        <v>1</v>
      </c>
      <c r="I28" s="54" t="s">
        <v>100</v>
      </c>
    </row>
    <row r="29" spans="1:10" ht="63" x14ac:dyDescent="0.25">
      <c r="A29" s="46">
        <v>26</v>
      </c>
      <c r="B29" s="20" t="s">
        <v>5</v>
      </c>
      <c r="C29" s="20" t="s">
        <v>6</v>
      </c>
      <c r="D29" s="20" t="s">
        <v>86</v>
      </c>
      <c r="F29" s="63">
        <v>1</v>
      </c>
      <c r="G29" s="64">
        <v>1</v>
      </c>
      <c r="H29" s="61">
        <f t="shared" si="0"/>
        <v>1</v>
      </c>
      <c r="I29" s="54" t="s">
        <v>100</v>
      </c>
    </row>
    <row r="30" spans="1:10" ht="135" x14ac:dyDescent="0.25">
      <c r="A30" s="46">
        <v>27</v>
      </c>
      <c r="B30" s="20" t="s">
        <v>5</v>
      </c>
      <c r="C30" s="42" t="s">
        <v>7</v>
      </c>
      <c r="D30" s="20" t="s">
        <v>87</v>
      </c>
      <c r="F30" s="63">
        <v>1</v>
      </c>
      <c r="G30" s="64">
        <v>0.9</v>
      </c>
      <c r="H30" s="61">
        <f t="shared" si="0"/>
        <v>0.9</v>
      </c>
      <c r="I30" s="54" t="s">
        <v>262</v>
      </c>
    </row>
    <row r="31" spans="1:10" ht="120" x14ac:dyDescent="0.25">
      <c r="A31" s="46">
        <v>28</v>
      </c>
      <c r="B31" s="20" t="s">
        <v>5</v>
      </c>
      <c r="C31" s="42" t="s">
        <v>7</v>
      </c>
      <c r="D31" s="20" t="s">
        <v>88</v>
      </c>
      <c r="F31" s="63">
        <v>1</v>
      </c>
      <c r="G31" s="64">
        <v>0.93</v>
      </c>
      <c r="H31" s="61">
        <f t="shared" si="0"/>
        <v>0.93</v>
      </c>
      <c r="I31" s="54" t="s">
        <v>240</v>
      </c>
    </row>
    <row r="32" spans="1:10" ht="47.25" x14ac:dyDescent="0.25">
      <c r="A32" s="46">
        <v>29</v>
      </c>
      <c r="B32" s="20" t="s">
        <v>5</v>
      </c>
      <c r="C32" s="42" t="s">
        <v>7</v>
      </c>
      <c r="D32" s="20" t="s">
        <v>89</v>
      </c>
      <c r="F32" s="59">
        <v>1</v>
      </c>
      <c r="G32" s="60">
        <v>1</v>
      </c>
      <c r="H32" s="61">
        <f t="shared" si="0"/>
        <v>1</v>
      </c>
      <c r="I32" s="54" t="s">
        <v>100</v>
      </c>
    </row>
    <row r="33" spans="1:9" ht="110.25" x14ac:dyDescent="0.25">
      <c r="A33" s="46">
        <v>30</v>
      </c>
      <c r="B33" s="20" t="s">
        <v>5</v>
      </c>
      <c r="C33" s="42" t="s">
        <v>7</v>
      </c>
      <c r="D33" s="20" t="s">
        <v>90</v>
      </c>
      <c r="F33" s="59">
        <v>1</v>
      </c>
      <c r="G33" s="60">
        <v>1</v>
      </c>
      <c r="H33" s="61">
        <f t="shared" si="0"/>
        <v>1</v>
      </c>
      <c r="I33" s="54" t="s">
        <v>100</v>
      </c>
    </row>
    <row r="34" spans="1:9" s="36" customFormat="1" ht="94.5" customHeight="1" x14ac:dyDescent="0.25">
      <c r="A34" s="47">
        <v>31</v>
      </c>
      <c r="B34" s="35" t="s">
        <v>8</v>
      </c>
      <c r="C34" s="35" t="s">
        <v>9</v>
      </c>
      <c r="D34" s="44" t="s">
        <v>91</v>
      </c>
      <c r="F34" s="66">
        <v>1</v>
      </c>
      <c r="G34" s="67">
        <v>1</v>
      </c>
      <c r="H34" s="61">
        <f t="shared" si="0"/>
        <v>1</v>
      </c>
      <c r="I34" s="58" t="s">
        <v>152</v>
      </c>
    </row>
    <row r="35" spans="1:9" ht="78.75" x14ac:dyDescent="0.25">
      <c r="A35" s="46">
        <v>32</v>
      </c>
      <c r="B35" s="40" t="s">
        <v>8</v>
      </c>
      <c r="C35" s="40" t="s">
        <v>9</v>
      </c>
      <c r="D35" s="22" t="s">
        <v>92</v>
      </c>
      <c r="F35" s="59">
        <v>1</v>
      </c>
      <c r="G35" s="60">
        <v>1</v>
      </c>
      <c r="H35" s="61">
        <f t="shared" si="0"/>
        <v>1</v>
      </c>
      <c r="I35" s="58" t="s">
        <v>152</v>
      </c>
    </row>
    <row r="36" spans="1:9" ht="47.25" x14ac:dyDescent="0.25">
      <c r="A36" s="46">
        <v>33</v>
      </c>
      <c r="B36" s="40" t="s">
        <v>8</v>
      </c>
      <c r="C36" s="40" t="s">
        <v>9</v>
      </c>
      <c r="D36" s="20" t="s">
        <v>93</v>
      </c>
      <c r="F36" s="59">
        <v>1</v>
      </c>
      <c r="G36" s="60">
        <v>1</v>
      </c>
      <c r="H36" s="61">
        <f t="shared" si="0"/>
        <v>1</v>
      </c>
      <c r="I36" s="58" t="s">
        <v>152</v>
      </c>
    </row>
    <row r="37" spans="1:9" ht="94.5" x14ac:dyDescent="0.25">
      <c r="A37" s="46">
        <v>34</v>
      </c>
      <c r="B37" s="40" t="s">
        <v>8</v>
      </c>
      <c r="C37" s="40" t="s">
        <v>9</v>
      </c>
      <c r="D37" s="20" t="s">
        <v>94</v>
      </c>
      <c r="F37" s="59">
        <v>1</v>
      </c>
      <c r="G37" s="60">
        <v>1</v>
      </c>
      <c r="H37" s="61">
        <f t="shared" si="0"/>
        <v>1</v>
      </c>
      <c r="I37" s="58" t="s">
        <v>152</v>
      </c>
    </row>
    <row r="38" spans="1:9" ht="63" x14ac:dyDescent="0.25">
      <c r="A38" s="46">
        <v>35</v>
      </c>
      <c r="B38" s="40" t="s">
        <v>8</v>
      </c>
      <c r="C38" s="40" t="s">
        <v>9</v>
      </c>
      <c r="D38" s="20" t="s">
        <v>95</v>
      </c>
      <c r="F38" s="59">
        <v>1</v>
      </c>
      <c r="G38" s="60">
        <v>1</v>
      </c>
      <c r="H38" s="61">
        <f t="shared" si="0"/>
        <v>1</v>
      </c>
      <c r="I38" s="58" t="s">
        <v>152</v>
      </c>
    </row>
    <row r="39" spans="1:9" ht="94.5" x14ac:dyDescent="0.25">
      <c r="A39" s="46">
        <v>36</v>
      </c>
      <c r="B39" s="40" t="s">
        <v>8</v>
      </c>
      <c r="C39" s="40" t="s">
        <v>9</v>
      </c>
      <c r="D39" s="20" t="s">
        <v>96</v>
      </c>
      <c r="F39" s="59">
        <v>1</v>
      </c>
      <c r="G39" s="60">
        <v>1</v>
      </c>
      <c r="H39" s="61">
        <f t="shared" si="0"/>
        <v>1</v>
      </c>
      <c r="I39" s="58" t="s">
        <v>152</v>
      </c>
    </row>
    <row r="40" spans="1:9" ht="47.25" x14ac:dyDescent="0.25">
      <c r="A40" s="46">
        <v>37</v>
      </c>
      <c r="B40" s="40" t="s">
        <v>8</v>
      </c>
      <c r="C40" s="40" t="s">
        <v>9</v>
      </c>
      <c r="D40" s="20" t="s">
        <v>97</v>
      </c>
      <c r="F40" s="59">
        <v>1</v>
      </c>
      <c r="G40" s="60">
        <v>1</v>
      </c>
      <c r="H40" s="61">
        <f t="shared" si="0"/>
        <v>1</v>
      </c>
      <c r="I40" s="58" t="s">
        <v>152</v>
      </c>
    </row>
    <row r="41" spans="1:9" s="36" customFormat="1" ht="123" customHeight="1" x14ac:dyDescent="0.25">
      <c r="A41" s="47">
        <v>38</v>
      </c>
      <c r="B41" s="35" t="s">
        <v>8</v>
      </c>
      <c r="C41" s="35" t="s">
        <v>9</v>
      </c>
      <c r="D41" s="35" t="s">
        <v>98</v>
      </c>
      <c r="F41" s="66">
        <v>1</v>
      </c>
      <c r="G41" s="67">
        <v>0.95</v>
      </c>
      <c r="H41" s="61">
        <f t="shared" si="0"/>
        <v>0.95</v>
      </c>
      <c r="I41" s="57" t="s">
        <v>181</v>
      </c>
    </row>
    <row r="42" spans="1:9" s="36" customFormat="1" ht="155.25" customHeight="1" x14ac:dyDescent="0.25">
      <c r="A42" s="47">
        <v>39</v>
      </c>
      <c r="B42" s="20" t="s">
        <v>10</v>
      </c>
      <c r="C42" s="20" t="s">
        <v>28</v>
      </c>
      <c r="D42" s="35" t="s">
        <v>52</v>
      </c>
      <c r="F42" s="66">
        <v>1</v>
      </c>
      <c r="G42" s="67">
        <v>1</v>
      </c>
      <c r="H42" s="61">
        <f t="shared" si="0"/>
        <v>1</v>
      </c>
      <c r="I42" s="58" t="s">
        <v>152</v>
      </c>
    </row>
    <row r="43" spans="1:9" ht="125.25" customHeight="1" x14ac:dyDescent="0.25">
      <c r="A43" s="46">
        <v>40</v>
      </c>
      <c r="B43" s="20" t="s">
        <v>10</v>
      </c>
      <c r="C43" s="20" t="s">
        <v>27</v>
      </c>
      <c r="D43" s="20" t="s">
        <v>53</v>
      </c>
      <c r="F43" s="59">
        <v>1</v>
      </c>
      <c r="G43" s="60">
        <v>1</v>
      </c>
      <c r="H43" s="61">
        <f t="shared" si="0"/>
        <v>1</v>
      </c>
      <c r="I43" s="54" t="s">
        <v>152</v>
      </c>
    </row>
    <row r="44" spans="1:9" ht="269.25" customHeight="1" x14ac:dyDescent="0.25">
      <c r="A44" s="46">
        <v>41</v>
      </c>
      <c r="B44" s="20" t="s">
        <v>10</v>
      </c>
      <c r="C44" s="20" t="s">
        <v>27</v>
      </c>
      <c r="D44" s="20" t="s">
        <v>99</v>
      </c>
      <c r="F44" s="59">
        <v>1</v>
      </c>
      <c r="G44" s="60">
        <v>0.75</v>
      </c>
      <c r="H44" s="61">
        <f t="shared" si="0"/>
        <v>0.75</v>
      </c>
      <c r="I44" s="54" t="s">
        <v>127</v>
      </c>
    </row>
    <row r="45" spans="1:9" ht="126.75" customHeight="1" x14ac:dyDescent="0.25">
      <c r="A45" s="46">
        <v>42</v>
      </c>
      <c r="B45" s="20" t="s">
        <v>10</v>
      </c>
      <c r="C45" s="20" t="s">
        <v>10</v>
      </c>
      <c r="D45" s="20" t="s">
        <v>54</v>
      </c>
      <c r="F45" s="59">
        <v>1</v>
      </c>
      <c r="G45" s="60">
        <v>0.85</v>
      </c>
      <c r="H45" s="61">
        <f t="shared" si="0"/>
        <v>0.85</v>
      </c>
      <c r="I45" s="54" t="s">
        <v>156</v>
      </c>
    </row>
    <row r="46" spans="1:9" ht="240.75" customHeight="1" x14ac:dyDescent="0.25">
      <c r="A46" s="46">
        <v>43</v>
      </c>
      <c r="B46" s="20" t="s">
        <v>10</v>
      </c>
      <c r="C46" s="20" t="s">
        <v>29</v>
      </c>
      <c r="D46" s="20" t="s">
        <v>55</v>
      </c>
      <c r="F46" s="59">
        <v>1</v>
      </c>
      <c r="G46" s="60">
        <v>0.8</v>
      </c>
      <c r="H46" s="61">
        <f t="shared" si="0"/>
        <v>0.8</v>
      </c>
      <c r="I46" s="55" t="s">
        <v>118</v>
      </c>
    </row>
    <row r="47" spans="1:9" s="41" customFormat="1" ht="277.5" customHeight="1" x14ac:dyDescent="0.25">
      <c r="A47" s="45">
        <v>44</v>
      </c>
      <c r="B47" s="20" t="s">
        <v>10</v>
      </c>
      <c r="C47" s="20" t="s">
        <v>10</v>
      </c>
      <c r="D47" s="35" t="s">
        <v>56</v>
      </c>
      <c r="F47" s="63">
        <v>1</v>
      </c>
      <c r="G47" s="64">
        <v>0.74</v>
      </c>
      <c r="H47" s="61">
        <f t="shared" si="0"/>
        <v>0.74</v>
      </c>
      <c r="I47" s="56" t="s">
        <v>164</v>
      </c>
    </row>
    <row r="48" spans="1:9" ht="110.25" x14ac:dyDescent="0.25">
      <c r="A48" s="46">
        <v>45</v>
      </c>
      <c r="B48" s="20" t="s">
        <v>10</v>
      </c>
      <c r="C48" s="20" t="s">
        <v>10</v>
      </c>
      <c r="D48" s="20" t="s">
        <v>57</v>
      </c>
      <c r="F48" s="59">
        <v>1</v>
      </c>
      <c r="G48" s="60">
        <v>0.95</v>
      </c>
      <c r="H48" s="61">
        <f t="shared" si="0"/>
        <v>0.95</v>
      </c>
      <c r="I48" s="55" t="s">
        <v>101</v>
      </c>
    </row>
    <row r="49" spans="1:9" ht="195" x14ac:dyDescent="0.25">
      <c r="A49" s="46">
        <v>46</v>
      </c>
      <c r="B49" s="20" t="s">
        <v>10</v>
      </c>
      <c r="C49" s="20" t="s">
        <v>10</v>
      </c>
      <c r="D49" s="20" t="s">
        <v>58</v>
      </c>
      <c r="F49" s="59">
        <v>1</v>
      </c>
      <c r="G49" s="60">
        <v>0.93</v>
      </c>
      <c r="H49" s="61">
        <f t="shared" si="0"/>
        <v>0.93</v>
      </c>
      <c r="I49" s="57" t="s">
        <v>104</v>
      </c>
    </row>
    <row r="50" spans="1:9" s="36" customFormat="1" ht="90.75" customHeight="1" x14ac:dyDescent="0.25">
      <c r="A50" s="47">
        <v>47</v>
      </c>
      <c r="B50" s="35" t="s">
        <v>10</v>
      </c>
      <c r="C50" s="35" t="s">
        <v>10</v>
      </c>
      <c r="D50" s="35" t="s">
        <v>59</v>
      </c>
      <c r="F50" s="66">
        <v>1</v>
      </c>
      <c r="G50" s="67">
        <v>0.95</v>
      </c>
      <c r="H50" s="61">
        <f t="shared" si="0"/>
        <v>0.95</v>
      </c>
      <c r="I50" s="58" t="s">
        <v>151</v>
      </c>
    </row>
    <row r="51" spans="1:9" ht="142.5" customHeight="1" x14ac:dyDescent="0.25">
      <c r="A51" s="46">
        <v>48</v>
      </c>
      <c r="B51" s="20" t="s">
        <v>10</v>
      </c>
      <c r="C51" s="20" t="s">
        <v>10</v>
      </c>
      <c r="D51" s="20" t="s">
        <v>60</v>
      </c>
      <c r="F51" s="59">
        <v>1</v>
      </c>
      <c r="G51" s="60">
        <v>0.75</v>
      </c>
      <c r="H51" s="61">
        <f t="shared" si="0"/>
        <v>0.75</v>
      </c>
      <c r="I51" s="55" t="s">
        <v>142</v>
      </c>
    </row>
  </sheetData>
  <mergeCells count="2">
    <mergeCell ref="B2:D2"/>
    <mergeCell ref="F2:I2"/>
  </mergeCells>
  <pageMargins left="0.511811024" right="0.511811024" top="0.78740157499999996" bottom="0.78740157499999996" header="0.31496062000000002" footer="0.31496062000000002"/>
  <pageSetup paperSize="9" orientation="portrait" horizontalDpi="200" verticalDpi="200" copies="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1"/>
  <sheetViews>
    <sheetView zoomScaleNormal="100" workbookViewId="0">
      <pane xSplit="4" ySplit="3" topLeftCell="E50" activePane="bottomRight" state="frozen"/>
      <selection pane="topRight" activeCell="E1" sqref="E1"/>
      <selection pane="bottomLeft" activeCell="A4" sqref="A4"/>
      <selection pane="bottomRight" activeCell="H51" sqref="H51"/>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135" x14ac:dyDescent="0.25">
      <c r="A4" s="45">
        <v>1</v>
      </c>
      <c r="B4" s="40" t="s">
        <v>3</v>
      </c>
      <c r="C4" s="40" t="s">
        <v>4</v>
      </c>
      <c r="D4" s="40" t="s">
        <v>61</v>
      </c>
      <c r="F4" s="63">
        <v>1</v>
      </c>
      <c r="G4" s="64">
        <v>0.94</v>
      </c>
      <c r="H4" s="61">
        <f>F4*G4</f>
        <v>0.94</v>
      </c>
      <c r="I4" s="65" t="s">
        <v>363</v>
      </c>
    </row>
    <row r="5" spans="1:9" ht="409.5" x14ac:dyDescent="0.25">
      <c r="A5" s="46">
        <v>2</v>
      </c>
      <c r="B5" s="20" t="s">
        <v>3</v>
      </c>
      <c r="C5" s="20" t="s">
        <v>4</v>
      </c>
      <c r="D5" s="20" t="s">
        <v>62</v>
      </c>
      <c r="F5" s="59">
        <v>1</v>
      </c>
      <c r="G5" s="60">
        <v>0.82</v>
      </c>
      <c r="H5" s="61">
        <f t="shared" ref="H5:H51" si="0">F5*G5</f>
        <v>0.82</v>
      </c>
      <c r="I5" s="54" t="s">
        <v>364</v>
      </c>
    </row>
    <row r="6" spans="1:9" ht="409.5" x14ac:dyDescent="0.25">
      <c r="A6" s="46">
        <v>3</v>
      </c>
      <c r="B6" s="20" t="s">
        <v>3</v>
      </c>
      <c r="C6" s="20" t="s">
        <v>4</v>
      </c>
      <c r="D6" s="20" t="s">
        <v>63</v>
      </c>
      <c r="F6" s="63">
        <v>1</v>
      </c>
      <c r="G6" s="64">
        <v>0.81</v>
      </c>
      <c r="H6" s="61">
        <f t="shared" si="0"/>
        <v>0.81</v>
      </c>
      <c r="I6" s="54" t="s">
        <v>365</v>
      </c>
    </row>
    <row r="7" spans="1:9" ht="345" x14ac:dyDescent="0.25">
      <c r="A7" s="46">
        <v>4</v>
      </c>
      <c r="B7" s="20" t="s">
        <v>3</v>
      </c>
      <c r="C7" s="20" t="s">
        <v>4</v>
      </c>
      <c r="D7" s="20" t="s">
        <v>64</v>
      </c>
      <c r="F7" s="63">
        <v>1</v>
      </c>
      <c r="G7" s="64">
        <v>0.9</v>
      </c>
      <c r="H7" s="61">
        <f t="shared" si="0"/>
        <v>0.9</v>
      </c>
      <c r="I7" s="54" t="s">
        <v>340</v>
      </c>
    </row>
    <row r="8" spans="1:9" ht="409.5" x14ac:dyDescent="0.25">
      <c r="A8" s="46">
        <v>5</v>
      </c>
      <c r="B8" s="20" t="s">
        <v>3</v>
      </c>
      <c r="C8" s="20" t="s">
        <v>4</v>
      </c>
      <c r="D8" s="20" t="s">
        <v>65</v>
      </c>
      <c r="F8" s="63">
        <v>1</v>
      </c>
      <c r="G8" s="64">
        <v>0.7</v>
      </c>
      <c r="H8" s="61">
        <f t="shared" si="0"/>
        <v>0.7</v>
      </c>
      <c r="I8" s="54" t="s">
        <v>366</v>
      </c>
    </row>
    <row r="9" spans="1:9" s="36" customFormat="1" ht="409.5" x14ac:dyDescent="0.25">
      <c r="A9" s="47">
        <v>6</v>
      </c>
      <c r="B9" s="35" t="s">
        <v>3</v>
      </c>
      <c r="C9" s="35" t="s">
        <v>4</v>
      </c>
      <c r="D9" s="35" t="s">
        <v>66</v>
      </c>
      <c r="F9" s="63">
        <v>1</v>
      </c>
      <c r="G9" s="64">
        <v>0.66</v>
      </c>
      <c r="H9" s="61">
        <f t="shared" si="0"/>
        <v>0.66</v>
      </c>
      <c r="I9" s="57" t="s">
        <v>367</v>
      </c>
    </row>
    <row r="10" spans="1:9" ht="195" x14ac:dyDescent="0.25">
      <c r="A10" s="46">
        <v>7</v>
      </c>
      <c r="B10" s="20" t="s">
        <v>3</v>
      </c>
      <c r="C10" s="20" t="s">
        <v>4</v>
      </c>
      <c r="D10" s="20" t="s">
        <v>67</v>
      </c>
      <c r="F10" s="63">
        <v>1</v>
      </c>
      <c r="G10" s="64">
        <v>0.8</v>
      </c>
      <c r="H10" s="61">
        <f t="shared" si="0"/>
        <v>0.8</v>
      </c>
      <c r="I10" s="54" t="s">
        <v>368</v>
      </c>
    </row>
    <row r="11" spans="1:9" ht="409.5" x14ac:dyDescent="0.25">
      <c r="A11" s="46">
        <v>8</v>
      </c>
      <c r="B11" s="20" t="s">
        <v>3</v>
      </c>
      <c r="C11" s="20" t="s">
        <v>4</v>
      </c>
      <c r="D11" s="20" t="s">
        <v>68</v>
      </c>
      <c r="F11" s="63">
        <v>1</v>
      </c>
      <c r="G11" s="64">
        <v>0.8</v>
      </c>
      <c r="H11" s="61">
        <f t="shared" si="0"/>
        <v>0.8</v>
      </c>
      <c r="I11" s="54" t="s">
        <v>369</v>
      </c>
    </row>
    <row r="12" spans="1:9" ht="120" x14ac:dyDescent="0.25">
      <c r="A12" s="46">
        <v>9</v>
      </c>
      <c r="B12" s="20" t="s">
        <v>3</v>
      </c>
      <c r="C12" s="20" t="s">
        <v>4</v>
      </c>
      <c r="D12" s="20" t="s">
        <v>69</v>
      </c>
      <c r="F12" s="63">
        <v>1</v>
      </c>
      <c r="G12" s="64">
        <v>0.84</v>
      </c>
      <c r="H12" s="61">
        <f t="shared" si="0"/>
        <v>0.84</v>
      </c>
      <c r="I12" s="54" t="s">
        <v>370</v>
      </c>
    </row>
    <row r="13" spans="1:9" s="36" customFormat="1" ht="126" x14ac:dyDescent="0.25">
      <c r="A13" s="47">
        <v>10</v>
      </c>
      <c r="B13" s="35" t="s">
        <v>3</v>
      </c>
      <c r="C13" s="20" t="s">
        <v>4</v>
      </c>
      <c r="D13" s="35" t="s">
        <v>70</v>
      </c>
      <c r="F13" s="63">
        <v>1</v>
      </c>
      <c r="G13" s="64">
        <v>0.95</v>
      </c>
      <c r="H13" s="61">
        <f t="shared" si="0"/>
        <v>0.95</v>
      </c>
      <c r="I13" s="57" t="s">
        <v>351</v>
      </c>
    </row>
    <row r="14" spans="1:9" ht="180" x14ac:dyDescent="0.25">
      <c r="A14" s="46">
        <v>11</v>
      </c>
      <c r="B14" s="20" t="s">
        <v>25</v>
      </c>
      <c r="C14" s="20" t="s">
        <v>26</v>
      </c>
      <c r="D14" s="20" t="s">
        <v>71</v>
      </c>
      <c r="F14" s="63">
        <v>1</v>
      </c>
      <c r="G14" s="64">
        <v>0.98</v>
      </c>
      <c r="H14" s="61">
        <f t="shared" si="0"/>
        <v>0.98</v>
      </c>
      <c r="I14" s="54" t="s">
        <v>220</v>
      </c>
    </row>
    <row r="15" spans="1:9" ht="120" x14ac:dyDescent="0.25">
      <c r="A15" s="46">
        <v>12</v>
      </c>
      <c r="B15" s="20" t="s">
        <v>25</v>
      </c>
      <c r="C15" s="20" t="s">
        <v>26</v>
      </c>
      <c r="D15" s="20" t="s">
        <v>72</v>
      </c>
      <c r="F15" s="63">
        <v>1</v>
      </c>
      <c r="G15" s="64">
        <v>0.95</v>
      </c>
      <c r="H15" s="61">
        <f t="shared" si="0"/>
        <v>0.95</v>
      </c>
      <c r="I15" s="54" t="s">
        <v>222</v>
      </c>
    </row>
    <row r="16" spans="1:9" s="36" customFormat="1" ht="94.5" x14ac:dyDescent="0.25">
      <c r="A16" s="47">
        <v>13</v>
      </c>
      <c r="B16" s="35" t="s">
        <v>25</v>
      </c>
      <c r="C16" s="35" t="s">
        <v>26</v>
      </c>
      <c r="D16" s="35" t="s">
        <v>73</v>
      </c>
      <c r="F16" s="63">
        <v>1</v>
      </c>
      <c r="G16" s="64">
        <v>0.87</v>
      </c>
      <c r="H16" s="61">
        <f t="shared" si="0"/>
        <v>0.87</v>
      </c>
      <c r="I16" s="57" t="s">
        <v>221</v>
      </c>
    </row>
    <row r="17" spans="1:10" ht="63" x14ac:dyDescent="0.25">
      <c r="A17" s="46">
        <v>14</v>
      </c>
      <c r="B17" s="20" t="s">
        <v>25</v>
      </c>
      <c r="C17" s="20" t="s">
        <v>26</v>
      </c>
      <c r="D17" s="20" t="s">
        <v>74</v>
      </c>
      <c r="F17" s="63">
        <v>1</v>
      </c>
      <c r="G17" s="64">
        <v>1</v>
      </c>
      <c r="H17" s="61">
        <f t="shared" si="0"/>
        <v>1</v>
      </c>
      <c r="I17" s="54" t="s">
        <v>100</v>
      </c>
    </row>
    <row r="18" spans="1:10" ht="150" x14ac:dyDescent="0.25">
      <c r="A18" s="46">
        <v>15</v>
      </c>
      <c r="B18" s="20" t="s">
        <v>25</v>
      </c>
      <c r="C18" s="20" t="s">
        <v>26</v>
      </c>
      <c r="D18" s="20" t="s">
        <v>194</v>
      </c>
      <c r="F18" s="63">
        <v>1</v>
      </c>
      <c r="G18" s="64">
        <v>0.9</v>
      </c>
      <c r="H18" s="61">
        <f t="shared" si="0"/>
        <v>0.9</v>
      </c>
      <c r="I18" s="54" t="s">
        <v>223</v>
      </c>
    </row>
    <row r="19" spans="1:10" ht="47.25" x14ac:dyDescent="0.25">
      <c r="A19" s="46">
        <v>16</v>
      </c>
      <c r="B19" s="20" t="s">
        <v>5</v>
      </c>
      <c r="C19" s="40" t="s">
        <v>6</v>
      </c>
      <c r="D19" s="20" t="s">
        <v>76</v>
      </c>
      <c r="F19" s="63">
        <v>1</v>
      </c>
      <c r="G19" s="64">
        <v>1</v>
      </c>
      <c r="H19" s="61">
        <f t="shared" si="0"/>
        <v>1</v>
      </c>
      <c r="I19" s="54" t="s">
        <v>100</v>
      </c>
    </row>
    <row r="20" spans="1:10" ht="120" x14ac:dyDescent="0.25">
      <c r="A20" s="46">
        <v>17</v>
      </c>
      <c r="B20" s="20" t="s">
        <v>5</v>
      </c>
      <c r="C20" s="40" t="s">
        <v>6</v>
      </c>
      <c r="D20" s="20" t="s">
        <v>77</v>
      </c>
      <c r="F20" s="63">
        <v>1</v>
      </c>
      <c r="G20" s="64">
        <v>0.8</v>
      </c>
      <c r="H20" s="61">
        <f t="shared" si="0"/>
        <v>0.8</v>
      </c>
      <c r="I20" s="54" t="s">
        <v>224</v>
      </c>
    </row>
    <row r="21" spans="1:10" s="36" customFormat="1" ht="409.5" x14ac:dyDescent="0.25">
      <c r="A21" s="47">
        <v>18</v>
      </c>
      <c r="B21" s="35" t="s">
        <v>5</v>
      </c>
      <c r="C21" s="40" t="s">
        <v>6</v>
      </c>
      <c r="D21" s="35" t="s">
        <v>78</v>
      </c>
      <c r="F21" s="63">
        <v>1</v>
      </c>
      <c r="G21" s="64">
        <v>0.6</v>
      </c>
      <c r="H21" s="61">
        <f t="shared" si="0"/>
        <v>0.6</v>
      </c>
      <c r="I21" s="57" t="s">
        <v>225</v>
      </c>
    </row>
    <row r="22" spans="1:10" ht="240" x14ac:dyDescent="0.25">
      <c r="A22" s="46">
        <v>19</v>
      </c>
      <c r="B22" s="20" t="s">
        <v>5</v>
      </c>
      <c r="C22" s="40" t="s">
        <v>6</v>
      </c>
      <c r="D22" s="20" t="s">
        <v>79</v>
      </c>
      <c r="F22" s="63">
        <v>1</v>
      </c>
      <c r="G22" s="64">
        <v>0.82</v>
      </c>
      <c r="H22" s="61">
        <f t="shared" si="0"/>
        <v>0.82</v>
      </c>
      <c r="I22" s="54" t="s">
        <v>226</v>
      </c>
    </row>
    <row r="23" spans="1:10" ht="78.75" x14ac:dyDescent="0.25">
      <c r="A23" s="46">
        <v>20</v>
      </c>
      <c r="B23" s="20" t="s">
        <v>5</v>
      </c>
      <c r="C23" s="40" t="s">
        <v>6</v>
      </c>
      <c r="D23" s="20" t="s">
        <v>80</v>
      </c>
      <c r="F23" s="63">
        <v>1</v>
      </c>
      <c r="G23" s="64">
        <v>0.9</v>
      </c>
      <c r="H23" s="61">
        <f t="shared" si="0"/>
        <v>0.9</v>
      </c>
      <c r="I23" s="57" t="s">
        <v>227</v>
      </c>
    </row>
    <row r="24" spans="1:10" ht="141.75" x14ac:dyDescent="0.25">
      <c r="A24" s="46">
        <v>21</v>
      </c>
      <c r="B24" s="20" t="s">
        <v>5</v>
      </c>
      <c r="C24" s="40" t="s">
        <v>6</v>
      </c>
      <c r="D24" s="20" t="s">
        <v>81</v>
      </c>
      <c r="F24" s="63">
        <v>1</v>
      </c>
      <c r="G24" s="64">
        <v>0.9</v>
      </c>
      <c r="H24" s="61">
        <f t="shared" si="0"/>
        <v>0.9</v>
      </c>
      <c r="I24" s="54" t="s">
        <v>219</v>
      </c>
      <c r="J24" s="1" t="s">
        <v>24</v>
      </c>
    </row>
    <row r="25" spans="1:10" s="34" customFormat="1" ht="150" customHeight="1" x14ac:dyDescent="0.25">
      <c r="A25" s="47">
        <v>22</v>
      </c>
      <c r="B25" s="35" t="s">
        <v>5</v>
      </c>
      <c r="C25" s="35" t="s">
        <v>6</v>
      </c>
      <c r="D25" s="35" t="s">
        <v>82</v>
      </c>
      <c r="F25" s="63">
        <v>1</v>
      </c>
      <c r="G25" s="64">
        <v>1</v>
      </c>
      <c r="H25" s="61">
        <f t="shared" si="0"/>
        <v>1</v>
      </c>
      <c r="I25" s="58" t="s">
        <v>100</v>
      </c>
    </row>
    <row r="26" spans="1:10" ht="240" x14ac:dyDescent="0.25">
      <c r="A26" s="46">
        <v>23</v>
      </c>
      <c r="B26" s="20" t="s">
        <v>5</v>
      </c>
      <c r="C26" s="20" t="s">
        <v>6</v>
      </c>
      <c r="D26" s="20" t="s">
        <v>200</v>
      </c>
      <c r="F26" s="63">
        <v>1</v>
      </c>
      <c r="G26" s="64">
        <v>0.9</v>
      </c>
      <c r="H26" s="61">
        <f t="shared" si="0"/>
        <v>0.9</v>
      </c>
      <c r="I26" s="54" t="s">
        <v>228</v>
      </c>
    </row>
    <row r="27" spans="1:10" ht="47.25" x14ac:dyDescent="0.25">
      <c r="A27" s="46">
        <v>24</v>
      </c>
      <c r="B27" s="20" t="s">
        <v>5</v>
      </c>
      <c r="C27" s="20" t="s">
        <v>6</v>
      </c>
      <c r="D27" s="20" t="s">
        <v>84</v>
      </c>
      <c r="F27" s="63">
        <v>1</v>
      </c>
      <c r="G27" s="64">
        <v>1</v>
      </c>
      <c r="H27" s="61">
        <f t="shared" si="0"/>
        <v>1</v>
      </c>
      <c r="I27" s="54" t="s">
        <v>100</v>
      </c>
    </row>
    <row r="28" spans="1:10" ht="409.5" x14ac:dyDescent="0.25">
      <c r="A28" s="46">
        <v>25</v>
      </c>
      <c r="B28" s="20" t="s">
        <v>5</v>
      </c>
      <c r="C28" s="20" t="s">
        <v>6</v>
      </c>
      <c r="D28" s="20" t="s">
        <v>213</v>
      </c>
      <c r="F28" s="63">
        <v>1</v>
      </c>
      <c r="G28" s="64">
        <v>0.7</v>
      </c>
      <c r="H28" s="61">
        <f t="shared" si="0"/>
        <v>0.7</v>
      </c>
      <c r="I28" s="54" t="s">
        <v>229</v>
      </c>
    </row>
    <row r="29" spans="1:10" ht="63" x14ac:dyDescent="0.25">
      <c r="A29" s="46">
        <v>26</v>
      </c>
      <c r="B29" s="20" t="s">
        <v>5</v>
      </c>
      <c r="C29" s="20" t="s">
        <v>6</v>
      </c>
      <c r="D29" s="20" t="s">
        <v>86</v>
      </c>
      <c r="F29" s="63">
        <v>1</v>
      </c>
      <c r="G29" s="64">
        <v>1</v>
      </c>
      <c r="H29" s="61">
        <f t="shared" si="0"/>
        <v>1</v>
      </c>
      <c r="I29" s="54" t="s">
        <v>100</v>
      </c>
    </row>
    <row r="30" spans="1:10" ht="105" x14ac:dyDescent="0.25">
      <c r="A30" s="46">
        <v>27</v>
      </c>
      <c r="B30" s="20" t="s">
        <v>5</v>
      </c>
      <c r="C30" s="42" t="s">
        <v>7</v>
      </c>
      <c r="D30" s="20" t="s">
        <v>87</v>
      </c>
      <c r="F30" s="63">
        <v>1</v>
      </c>
      <c r="G30" s="64">
        <v>0.93</v>
      </c>
      <c r="H30" s="61">
        <f t="shared" si="0"/>
        <v>0.93</v>
      </c>
      <c r="I30" s="54" t="s">
        <v>230</v>
      </c>
    </row>
    <row r="31" spans="1:10" ht="135" x14ac:dyDescent="0.25">
      <c r="A31" s="46">
        <v>28</v>
      </c>
      <c r="B31" s="20" t="s">
        <v>5</v>
      </c>
      <c r="C31" s="42" t="s">
        <v>7</v>
      </c>
      <c r="D31" s="20" t="s">
        <v>88</v>
      </c>
      <c r="F31" s="63">
        <v>1</v>
      </c>
      <c r="G31" s="64">
        <v>0.88</v>
      </c>
      <c r="H31" s="61">
        <f t="shared" si="0"/>
        <v>0.88</v>
      </c>
      <c r="I31" s="54" t="s">
        <v>231</v>
      </c>
    </row>
    <row r="32" spans="1:10" ht="47.25" x14ac:dyDescent="0.25">
      <c r="A32" s="46">
        <v>29</v>
      </c>
      <c r="B32" s="20" t="s">
        <v>5</v>
      </c>
      <c r="C32" s="42" t="s">
        <v>7</v>
      </c>
      <c r="D32" s="20" t="s">
        <v>89</v>
      </c>
      <c r="F32" s="59">
        <v>1</v>
      </c>
      <c r="G32" s="60">
        <v>1</v>
      </c>
      <c r="H32" s="61">
        <f t="shared" si="0"/>
        <v>1</v>
      </c>
      <c r="I32" s="54" t="s">
        <v>100</v>
      </c>
    </row>
    <row r="33" spans="1:9" ht="110.25" x14ac:dyDescent="0.25">
      <c r="A33" s="46">
        <v>30</v>
      </c>
      <c r="B33" s="20" t="s">
        <v>5</v>
      </c>
      <c r="C33" s="42" t="s">
        <v>7</v>
      </c>
      <c r="D33" s="20" t="s">
        <v>90</v>
      </c>
      <c r="F33" s="59">
        <v>1</v>
      </c>
      <c r="G33" s="60">
        <v>1</v>
      </c>
      <c r="H33" s="61">
        <f t="shared" si="0"/>
        <v>1</v>
      </c>
      <c r="I33" s="54" t="s">
        <v>100</v>
      </c>
    </row>
    <row r="34" spans="1:9" s="36" customFormat="1" ht="94.5" customHeight="1" x14ac:dyDescent="0.25">
      <c r="A34" s="47">
        <v>31</v>
      </c>
      <c r="B34" s="35" t="s">
        <v>8</v>
      </c>
      <c r="C34" s="35" t="s">
        <v>9</v>
      </c>
      <c r="D34" s="44" t="s">
        <v>91</v>
      </c>
      <c r="F34" s="66">
        <v>1</v>
      </c>
      <c r="G34" s="67">
        <v>1</v>
      </c>
      <c r="H34" s="61">
        <f t="shared" si="0"/>
        <v>1</v>
      </c>
      <c r="I34" s="57" t="s">
        <v>100</v>
      </c>
    </row>
    <row r="35" spans="1:9" ht="78.75" x14ac:dyDescent="0.25">
      <c r="A35" s="46">
        <v>32</v>
      </c>
      <c r="B35" s="40" t="s">
        <v>8</v>
      </c>
      <c r="C35" s="40" t="s">
        <v>9</v>
      </c>
      <c r="D35" s="22" t="s">
        <v>92</v>
      </c>
      <c r="F35" s="59">
        <v>1</v>
      </c>
      <c r="G35" s="60">
        <v>1</v>
      </c>
      <c r="H35" s="61">
        <f t="shared" si="0"/>
        <v>1</v>
      </c>
      <c r="I35" s="57" t="s">
        <v>100</v>
      </c>
    </row>
    <row r="36" spans="1:9" ht="47.25" x14ac:dyDescent="0.25">
      <c r="A36" s="46">
        <v>33</v>
      </c>
      <c r="B36" s="40" t="s">
        <v>8</v>
      </c>
      <c r="C36" s="40" t="s">
        <v>9</v>
      </c>
      <c r="D36" s="20" t="s">
        <v>93</v>
      </c>
      <c r="F36" s="59">
        <v>1</v>
      </c>
      <c r="G36" s="60">
        <v>1</v>
      </c>
      <c r="H36" s="61">
        <f t="shared" si="0"/>
        <v>1</v>
      </c>
      <c r="I36" s="57" t="s">
        <v>100</v>
      </c>
    </row>
    <row r="37" spans="1:9" ht="94.5" x14ac:dyDescent="0.25">
      <c r="A37" s="46">
        <v>34</v>
      </c>
      <c r="B37" s="40" t="s">
        <v>8</v>
      </c>
      <c r="C37" s="40" t="s">
        <v>9</v>
      </c>
      <c r="D37" s="20" t="s">
        <v>94</v>
      </c>
      <c r="F37" s="59">
        <v>1</v>
      </c>
      <c r="G37" s="60">
        <v>1</v>
      </c>
      <c r="H37" s="61">
        <f t="shared" si="0"/>
        <v>1</v>
      </c>
      <c r="I37" s="57" t="s">
        <v>100</v>
      </c>
    </row>
    <row r="38" spans="1:9" ht="63" x14ac:dyDescent="0.25">
      <c r="A38" s="46">
        <v>35</v>
      </c>
      <c r="B38" s="40" t="s">
        <v>8</v>
      </c>
      <c r="C38" s="40" t="s">
        <v>9</v>
      </c>
      <c r="D38" s="20" t="s">
        <v>95</v>
      </c>
      <c r="F38" s="59">
        <v>1</v>
      </c>
      <c r="G38" s="60">
        <v>1</v>
      </c>
      <c r="H38" s="61">
        <f t="shared" si="0"/>
        <v>1</v>
      </c>
      <c r="I38" s="57" t="s">
        <v>100</v>
      </c>
    </row>
    <row r="39" spans="1:9" ht="94.5" x14ac:dyDescent="0.25">
      <c r="A39" s="46">
        <v>36</v>
      </c>
      <c r="B39" s="40" t="s">
        <v>8</v>
      </c>
      <c r="C39" s="40" t="s">
        <v>9</v>
      </c>
      <c r="D39" s="20" t="s">
        <v>96</v>
      </c>
      <c r="F39" s="59">
        <v>1</v>
      </c>
      <c r="G39" s="60">
        <v>1</v>
      </c>
      <c r="H39" s="61">
        <f t="shared" si="0"/>
        <v>1</v>
      </c>
      <c r="I39" s="57" t="s">
        <v>100</v>
      </c>
    </row>
    <row r="40" spans="1:9" ht="47.25" x14ac:dyDescent="0.25">
      <c r="A40" s="46">
        <v>37</v>
      </c>
      <c r="B40" s="40" t="s">
        <v>8</v>
      </c>
      <c r="C40" s="40" t="s">
        <v>9</v>
      </c>
      <c r="D40" s="20" t="s">
        <v>97</v>
      </c>
      <c r="F40" s="59">
        <v>1</v>
      </c>
      <c r="G40" s="60">
        <v>1</v>
      </c>
      <c r="H40" s="61">
        <f t="shared" si="0"/>
        <v>1</v>
      </c>
      <c r="I40" s="57" t="s">
        <v>100</v>
      </c>
    </row>
    <row r="41" spans="1:9" s="36" customFormat="1" ht="123" customHeight="1" x14ac:dyDescent="0.25">
      <c r="A41" s="47">
        <v>38</v>
      </c>
      <c r="B41" s="35" t="s">
        <v>8</v>
      </c>
      <c r="C41" s="35" t="s">
        <v>9</v>
      </c>
      <c r="D41" s="35" t="s">
        <v>98</v>
      </c>
      <c r="F41" s="66">
        <v>1</v>
      </c>
      <c r="G41" s="67">
        <v>1</v>
      </c>
      <c r="H41" s="61">
        <f t="shared" si="0"/>
        <v>1</v>
      </c>
      <c r="I41" s="57" t="s">
        <v>100</v>
      </c>
    </row>
    <row r="42" spans="1:9" s="36" customFormat="1" ht="192.75" customHeight="1" x14ac:dyDescent="0.25">
      <c r="A42" s="47">
        <v>39</v>
      </c>
      <c r="B42" s="20" t="s">
        <v>10</v>
      </c>
      <c r="C42" s="20" t="s">
        <v>28</v>
      </c>
      <c r="D42" s="35" t="s">
        <v>52</v>
      </c>
      <c r="F42" s="66">
        <v>1</v>
      </c>
      <c r="G42" s="67">
        <v>1</v>
      </c>
      <c r="H42" s="61">
        <f t="shared" si="0"/>
        <v>1</v>
      </c>
      <c r="I42" s="57" t="s">
        <v>100</v>
      </c>
    </row>
    <row r="43" spans="1:9" ht="125.25" customHeight="1" x14ac:dyDescent="0.25">
      <c r="A43" s="46">
        <v>40</v>
      </c>
      <c r="B43" s="20" t="s">
        <v>10</v>
      </c>
      <c r="C43" s="20" t="s">
        <v>27</v>
      </c>
      <c r="D43" s="20" t="s">
        <v>53</v>
      </c>
      <c r="F43" s="59">
        <v>1</v>
      </c>
      <c r="G43" s="60">
        <v>0.85</v>
      </c>
      <c r="H43" s="61">
        <f t="shared" si="0"/>
        <v>0.85</v>
      </c>
      <c r="I43" s="54" t="s">
        <v>106</v>
      </c>
    </row>
    <row r="44" spans="1:9" ht="315" x14ac:dyDescent="0.25">
      <c r="A44" s="46">
        <v>41</v>
      </c>
      <c r="B44" s="20" t="s">
        <v>10</v>
      </c>
      <c r="C44" s="20" t="s">
        <v>27</v>
      </c>
      <c r="D44" s="20" t="s">
        <v>99</v>
      </c>
      <c r="F44" s="59">
        <v>1</v>
      </c>
      <c r="G44" s="60">
        <v>0.75</v>
      </c>
      <c r="H44" s="61">
        <f t="shared" si="0"/>
        <v>0.75</v>
      </c>
      <c r="I44" s="55" t="s">
        <v>125</v>
      </c>
    </row>
    <row r="45" spans="1:9" ht="126.75" customHeight="1" x14ac:dyDescent="0.25">
      <c r="A45" s="46">
        <v>42</v>
      </c>
      <c r="B45" s="20" t="s">
        <v>10</v>
      </c>
      <c r="C45" s="20" t="s">
        <v>10</v>
      </c>
      <c r="D45" s="20" t="s">
        <v>54</v>
      </c>
      <c r="F45" s="59">
        <v>1</v>
      </c>
      <c r="G45" s="60">
        <v>0.85</v>
      </c>
      <c r="H45" s="61">
        <f t="shared" si="0"/>
        <v>0.85</v>
      </c>
      <c r="I45" s="55" t="s">
        <v>154</v>
      </c>
    </row>
    <row r="46" spans="1:9" ht="240.75" customHeight="1" x14ac:dyDescent="0.25">
      <c r="A46" s="46">
        <v>43</v>
      </c>
      <c r="B46" s="20" t="s">
        <v>10</v>
      </c>
      <c r="C46" s="20" t="s">
        <v>29</v>
      </c>
      <c r="D46" s="20" t="s">
        <v>55</v>
      </c>
      <c r="F46" s="59">
        <v>1</v>
      </c>
      <c r="G46" s="60">
        <v>0.85</v>
      </c>
      <c r="H46" s="61">
        <f t="shared" si="0"/>
        <v>0.85</v>
      </c>
      <c r="I46" s="55" t="s">
        <v>107</v>
      </c>
    </row>
    <row r="47" spans="1:9" s="41" customFormat="1" ht="405" x14ac:dyDescent="0.25">
      <c r="A47" s="45">
        <v>44</v>
      </c>
      <c r="B47" s="20" t="s">
        <v>10</v>
      </c>
      <c r="C47" s="20" t="s">
        <v>10</v>
      </c>
      <c r="D47" s="35" t="s">
        <v>56</v>
      </c>
      <c r="F47" s="63">
        <v>1</v>
      </c>
      <c r="G47" s="64">
        <v>0.73</v>
      </c>
      <c r="H47" s="61">
        <f t="shared" si="0"/>
        <v>0.73</v>
      </c>
      <c r="I47" s="56" t="s">
        <v>165</v>
      </c>
    </row>
    <row r="48" spans="1:9" ht="110.25" x14ac:dyDescent="0.25">
      <c r="A48" s="46">
        <v>45</v>
      </c>
      <c r="B48" s="20" t="s">
        <v>10</v>
      </c>
      <c r="C48" s="20" t="s">
        <v>10</v>
      </c>
      <c r="D48" s="20" t="s">
        <v>57</v>
      </c>
      <c r="F48" s="59">
        <v>1</v>
      </c>
      <c r="G48" s="60">
        <v>0.95</v>
      </c>
      <c r="H48" s="61">
        <f t="shared" si="0"/>
        <v>0.95</v>
      </c>
      <c r="I48" s="55" t="s">
        <v>101</v>
      </c>
    </row>
    <row r="49" spans="1:9" ht="195" x14ac:dyDescent="0.25">
      <c r="A49" s="46">
        <v>46</v>
      </c>
      <c r="B49" s="20" t="s">
        <v>10</v>
      </c>
      <c r="C49" s="20" t="s">
        <v>10</v>
      </c>
      <c r="D49" s="20" t="s">
        <v>58</v>
      </c>
      <c r="F49" s="59">
        <v>1</v>
      </c>
      <c r="G49" s="60">
        <v>0.93</v>
      </c>
      <c r="H49" s="61">
        <f t="shared" si="0"/>
        <v>0.93</v>
      </c>
      <c r="I49" s="57" t="s">
        <v>104</v>
      </c>
    </row>
    <row r="50" spans="1:9" s="36" customFormat="1" ht="90.75" customHeight="1" x14ac:dyDescent="0.25">
      <c r="A50" s="47">
        <v>47</v>
      </c>
      <c r="B50" s="35" t="s">
        <v>10</v>
      </c>
      <c r="C50" s="35" t="s">
        <v>10</v>
      </c>
      <c r="D50" s="35" t="s">
        <v>59</v>
      </c>
      <c r="F50" s="66">
        <v>1</v>
      </c>
      <c r="G50" s="67">
        <v>0.95</v>
      </c>
      <c r="H50" s="61">
        <f t="shared" si="0"/>
        <v>0.95</v>
      </c>
      <c r="I50" s="58" t="s">
        <v>151</v>
      </c>
    </row>
    <row r="51" spans="1:9" ht="142.5" customHeight="1" x14ac:dyDescent="0.25">
      <c r="A51" s="46">
        <v>48</v>
      </c>
      <c r="B51" s="20" t="s">
        <v>10</v>
      </c>
      <c r="C51" s="20" t="s">
        <v>10</v>
      </c>
      <c r="D51" s="20" t="s">
        <v>60</v>
      </c>
      <c r="F51" s="59">
        <v>1</v>
      </c>
      <c r="G51" s="60">
        <v>0.85</v>
      </c>
      <c r="H51" s="61">
        <f t="shared" si="0"/>
        <v>0.85</v>
      </c>
      <c r="I51" s="55" t="s">
        <v>143</v>
      </c>
    </row>
  </sheetData>
  <mergeCells count="2">
    <mergeCell ref="B2:D2"/>
    <mergeCell ref="F2:I2"/>
  </mergeCells>
  <pageMargins left="0.511811024" right="0.511811024" top="0.78740157499999996" bottom="0.78740157499999996" header="0.31496062000000002" footer="0.31496062000000002"/>
  <pageSetup paperSize="9" orientation="portrait" horizontalDpi="200" verticalDpi="200" copies="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1"/>
  <sheetViews>
    <sheetView topLeftCell="A50" zoomScaleNormal="100" workbookViewId="0">
      <selection activeCell="H51" sqref="H51"/>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195" x14ac:dyDescent="0.25">
      <c r="A4" s="45">
        <v>1</v>
      </c>
      <c r="B4" s="40" t="s">
        <v>3</v>
      </c>
      <c r="C4" s="40" t="s">
        <v>4</v>
      </c>
      <c r="D4" s="40" t="s">
        <v>61</v>
      </c>
      <c r="F4" s="68">
        <v>1</v>
      </c>
      <c r="G4" s="69">
        <v>0.95</v>
      </c>
      <c r="H4" s="70">
        <f>F4*G4</f>
        <v>0.95</v>
      </c>
      <c r="I4" s="56" t="s">
        <v>371</v>
      </c>
    </row>
    <row r="5" spans="1:9" ht="409.5" x14ac:dyDescent="0.25">
      <c r="A5" s="46">
        <v>2</v>
      </c>
      <c r="B5" s="20" t="s">
        <v>3</v>
      </c>
      <c r="C5" s="20" t="s">
        <v>4</v>
      </c>
      <c r="D5" s="20" t="s">
        <v>62</v>
      </c>
      <c r="F5" s="71">
        <v>1</v>
      </c>
      <c r="G5" s="72">
        <v>0.82</v>
      </c>
      <c r="H5" s="70">
        <f t="shared" ref="H5:H51" si="0">F5*G5</f>
        <v>0.82</v>
      </c>
      <c r="I5" s="55" t="s">
        <v>372</v>
      </c>
    </row>
    <row r="6" spans="1:9" ht="390" x14ac:dyDescent="0.25">
      <c r="A6" s="46">
        <v>3</v>
      </c>
      <c r="B6" s="20" t="s">
        <v>3</v>
      </c>
      <c r="C6" s="20" t="s">
        <v>4</v>
      </c>
      <c r="D6" s="20" t="s">
        <v>63</v>
      </c>
      <c r="F6" s="68">
        <v>1</v>
      </c>
      <c r="G6" s="69">
        <v>0.86</v>
      </c>
      <c r="H6" s="70">
        <f t="shared" si="0"/>
        <v>0.86</v>
      </c>
      <c r="I6" s="55" t="s">
        <v>339</v>
      </c>
    </row>
    <row r="7" spans="1:9" ht="345" x14ac:dyDescent="0.25">
      <c r="A7" s="46">
        <v>4</v>
      </c>
      <c r="B7" s="20" t="s">
        <v>3</v>
      </c>
      <c r="C7" s="20" t="s">
        <v>4</v>
      </c>
      <c r="D7" s="20" t="s">
        <v>64</v>
      </c>
      <c r="F7" s="68">
        <v>1</v>
      </c>
      <c r="G7" s="69">
        <v>0.9</v>
      </c>
      <c r="H7" s="70">
        <f t="shared" si="0"/>
        <v>0.9</v>
      </c>
      <c r="I7" s="55" t="s">
        <v>340</v>
      </c>
    </row>
    <row r="8" spans="1:9" ht="409.5" x14ac:dyDescent="0.25">
      <c r="A8" s="46">
        <v>5</v>
      </c>
      <c r="B8" s="20" t="s">
        <v>3</v>
      </c>
      <c r="C8" s="20" t="s">
        <v>4</v>
      </c>
      <c r="D8" s="20" t="s">
        <v>65</v>
      </c>
      <c r="F8" s="68">
        <v>1</v>
      </c>
      <c r="G8" s="69">
        <v>0.71</v>
      </c>
      <c r="H8" s="70">
        <f t="shared" si="0"/>
        <v>0.71</v>
      </c>
      <c r="I8" s="55" t="s">
        <v>373</v>
      </c>
    </row>
    <row r="9" spans="1:9" s="36" customFormat="1" ht="409.5" x14ac:dyDescent="0.25">
      <c r="A9" s="47">
        <v>6</v>
      </c>
      <c r="B9" s="35" t="s">
        <v>3</v>
      </c>
      <c r="C9" s="35" t="s">
        <v>4</v>
      </c>
      <c r="D9" s="35" t="s">
        <v>66</v>
      </c>
      <c r="F9" s="68">
        <v>1</v>
      </c>
      <c r="G9" s="69">
        <v>0.73</v>
      </c>
      <c r="H9" s="70">
        <f t="shared" si="0"/>
        <v>0.73</v>
      </c>
      <c r="I9" s="58" t="s">
        <v>374</v>
      </c>
    </row>
    <row r="10" spans="1:9" ht="135" x14ac:dyDescent="0.25">
      <c r="A10" s="46">
        <v>7</v>
      </c>
      <c r="B10" s="20" t="s">
        <v>3</v>
      </c>
      <c r="C10" s="20" t="s">
        <v>4</v>
      </c>
      <c r="D10" s="20" t="s">
        <v>67</v>
      </c>
      <c r="F10" s="68">
        <v>1</v>
      </c>
      <c r="G10" s="69">
        <v>0.82</v>
      </c>
      <c r="H10" s="70">
        <f t="shared" si="0"/>
        <v>0.82</v>
      </c>
      <c r="I10" s="55" t="s">
        <v>343</v>
      </c>
    </row>
    <row r="11" spans="1:9" ht="315" x14ac:dyDescent="0.25">
      <c r="A11" s="46">
        <v>8</v>
      </c>
      <c r="B11" s="20" t="s">
        <v>3</v>
      </c>
      <c r="C11" s="20" t="s">
        <v>4</v>
      </c>
      <c r="D11" s="20" t="s">
        <v>68</v>
      </c>
      <c r="F11" s="68">
        <v>1</v>
      </c>
      <c r="G11" s="69">
        <v>0.9</v>
      </c>
      <c r="H11" s="70">
        <f t="shared" si="0"/>
        <v>0.9</v>
      </c>
      <c r="I11" s="55" t="s">
        <v>344</v>
      </c>
    </row>
    <row r="12" spans="1:9" ht="135" x14ac:dyDescent="0.25">
      <c r="A12" s="46">
        <v>9</v>
      </c>
      <c r="B12" s="20" t="s">
        <v>3</v>
      </c>
      <c r="C12" s="20" t="s">
        <v>4</v>
      </c>
      <c r="D12" s="20" t="s">
        <v>69</v>
      </c>
      <c r="F12" s="68">
        <v>1</v>
      </c>
      <c r="G12" s="69">
        <v>0.84</v>
      </c>
      <c r="H12" s="70">
        <f t="shared" si="0"/>
        <v>0.84</v>
      </c>
      <c r="I12" s="55" t="s">
        <v>345</v>
      </c>
    </row>
    <row r="13" spans="1:9" s="36" customFormat="1" ht="126" x14ac:dyDescent="0.25">
      <c r="A13" s="47">
        <v>10</v>
      </c>
      <c r="B13" s="35" t="s">
        <v>3</v>
      </c>
      <c r="C13" s="20" t="s">
        <v>4</v>
      </c>
      <c r="D13" s="35" t="s">
        <v>70</v>
      </c>
      <c r="F13" s="68">
        <v>1</v>
      </c>
      <c r="G13" s="69">
        <v>1</v>
      </c>
      <c r="H13" s="70">
        <f t="shared" si="0"/>
        <v>1</v>
      </c>
      <c r="I13" s="58" t="s">
        <v>100</v>
      </c>
    </row>
    <row r="14" spans="1:9" ht="390" x14ac:dyDescent="0.25">
      <c r="A14" s="46">
        <v>11</v>
      </c>
      <c r="B14" s="20" t="s">
        <v>25</v>
      </c>
      <c r="C14" s="20" t="s">
        <v>26</v>
      </c>
      <c r="D14" s="20" t="s">
        <v>71</v>
      </c>
      <c r="F14" s="68">
        <v>1</v>
      </c>
      <c r="G14" s="69">
        <v>0.94</v>
      </c>
      <c r="H14" s="70">
        <f t="shared" si="0"/>
        <v>0.94</v>
      </c>
      <c r="I14" s="55" t="s">
        <v>315</v>
      </c>
    </row>
    <row r="15" spans="1:9" ht="75" x14ac:dyDescent="0.25">
      <c r="A15" s="46">
        <v>12</v>
      </c>
      <c r="B15" s="20" t="s">
        <v>25</v>
      </c>
      <c r="C15" s="20" t="s">
        <v>26</v>
      </c>
      <c r="D15" s="20" t="s">
        <v>72</v>
      </c>
      <c r="F15" s="68">
        <v>1</v>
      </c>
      <c r="G15" s="69">
        <v>0.9</v>
      </c>
      <c r="H15" s="70">
        <f t="shared" si="0"/>
        <v>0.9</v>
      </c>
      <c r="I15" s="55" t="s">
        <v>299</v>
      </c>
    </row>
    <row r="16" spans="1:9" s="36" customFormat="1" ht="94.5" x14ac:dyDescent="0.25">
      <c r="A16" s="47">
        <v>13</v>
      </c>
      <c r="B16" s="35" t="s">
        <v>25</v>
      </c>
      <c r="C16" s="35" t="s">
        <v>26</v>
      </c>
      <c r="D16" s="35" t="s">
        <v>73</v>
      </c>
      <c r="F16" s="68">
        <v>1</v>
      </c>
      <c r="G16" s="69">
        <v>1</v>
      </c>
      <c r="H16" s="70">
        <f t="shared" si="0"/>
        <v>1</v>
      </c>
      <c r="I16" s="58" t="s">
        <v>100</v>
      </c>
    </row>
    <row r="17" spans="1:10" ht="63" x14ac:dyDescent="0.25">
      <c r="A17" s="46">
        <v>14</v>
      </c>
      <c r="B17" s="20" t="s">
        <v>25</v>
      </c>
      <c r="C17" s="20" t="s">
        <v>26</v>
      </c>
      <c r="D17" s="20" t="s">
        <v>74</v>
      </c>
      <c r="F17" s="68">
        <v>1</v>
      </c>
      <c r="G17" s="69">
        <v>1</v>
      </c>
      <c r="H17" s="70">
        <f t="shared" si="0"/>
        <v>1</v>
      </c>
      <c r="I17" s="55" t="s">
        <v>100</v>
      </c>
    </row>
    <row r="18" spans="1:10" ht="110.25" x14ac:dyDescent="0.25">
      <c r="A18" s="46">
        <v>15</v>
      </c>
      <c r="B18" s="20" t="s">
        <v>25</v>
      </c>
      <c r="C18" s="20" t="s">
        <v>26</v>
      </c>
      <c r="D18" s="20" t="s">
        <v>75</v>
      </c>
      <c r="F18" s="68">
        <v>1</v>
      </c>
      <c r="G18" s="69">
        <v>1</v>
      </c>
      <c r="H18" s="70">
        <f t="shared" si="0"/>
        <v>1</v>
      </c>
      <c r="I18" s="55" t="s">
        <v>100</v>
      </c>
    </row>
    <row r="19" spans="1:10" ht="47.25" x14ac:dyDescent="0.25">
      <c r="A19" s="46">
        <v>16</v>
      </c>
      <c r="B19" s="20" t="s">
        <v>5</v>
      </c>
      <c r="C19" s="40" t="s">
        <v>6</v>
      </c>
      <c r="D19" s="20" t="s">
        <v>76</v>
      </c>
      <c r="F19" s="68">
        <v>1</v>
      </c>
      <c r="G19" s="69">
        <v>1</v>
      </c>
      <c r="H19" s="70">
        <f t="shared" si="0"/>
        <v>1</v>
      </c>
      <c r="I19" s="55" t="s">
        <v>100</v>
      </c>
    </row>
    <row r="20" spans="1:10" ht="120" x14ac:dyDescent="0.25">
      <c r="A20" s="46">
        <v>17</v>
      </c>
      <c r="B20" s="20" t="s">
        <v>5</v>
      </c>
      <c r="C20" s="40" t="s">
        <v>6</v>
      </c>
      <c r="D20" s="20" t="s">
        <v>77</v>
      </c>
      <c r="F20" s="68">
        <v>1</v>
      </c>
      <c r="G20" s="69">
        <v>0.8</v>
      </c>
      <c r="H20" s="70">
        <f t="shared" si="0"/>
        <v>0.8</v>
      </c>
      <c r="I20" s="55" t="s">
        <v>316</v>
      </c>
    </row>
    <row r="21" spans="1:10" s="36" customFormat="1" ht="409.5" x14ac:dyDescent="0.25">
      <c r="A21" s="47">
        <v>18</v>
      </c>
      <c r="B21" s="35" t="s">
        <v>5</v>
      </c>
      <c r="C21" s="40" t="s">
        <v>6</v>
      </c>
      <c r="D21" s="35" t="s">
        <v>78</v>
      </c>
      <c r="F21" s="68">
        <v>1</v>
      </c>
      <c r="G21" s="69">
        <v>0.7</v>
      </c>
      <c r="H21" s="70">
        <f t="shared" si="0"/>
        <v>0.7</v>
      </c>
      <c r="I21" s="58" t="s">
        <v>317</v>
      </c>
    </row>
    <row r="22" spans="1:10" ht="141.75" x14ac:dyDescent="0.25">
      <c r="A22" s="46">
        <v>19</v>
      </c>
      <c r="B22" s="20" t="s">
        <v>5</v>
      </c>
      <c r="C22" s="40" t="s">
        <v>6</v>
      </c>
      <c r="D22" s="20" t="s">
        <v>79</v>
      </c>
      <c r="F22" s="68">
        <v>1</v>
      </c>
      <c r="G22" s="69">
        <v>0.86</v>
      </c>
      <c r="H22" s="70">
        <f t="shared" si="0"/>
        <v>0.86</v>
      </c>
      <c r="I22" s="55" t="s">
        <v>318</v>
      </c>
    </row>
    <row r="23" spans="1:10" ht="78.75" x14ac:dyDescent="0.25">
      <c r="A23" s="46">
        <v>20</v>
      </c>
      <c r="B23" s="20" t="s">
        <v>5</v>
      </c>
      <c r="C23" s="40" t="s">
        <v>6</v>
      </c>
      <c r="D23" s="20" t="s">
        <v>80</v>
      </c>
      <c r="F23" s="68">
        <v>1</v>
      </c>
      <c r="G23" s="69">
        <v>1</v>
      </c>
      <c r="H23" s="70">
        <f t="shared" si="0"/>
        <v>1</v>
      </c>
      <c r="I23" s="58" t="s">
        <v>100</v>
      </c>
    </row>
    <row r="24" spans="1:10" ht="141.75" x14ac:dyDescent="0.25">
      <c r="A24" s="46">
        <v>21</v>
      </c>
      <c r="B24" s="20" t="s">
        <v>5</v>
      </c>
      <c r="C24" s="40" t="s">
        <v>6</v>
      </c>
      <c r="D24" s="20" t="s">
        <v>81</v>
      </c>
      <c r="F24" s="68">
        <v>1</v>
      </c>
      <c r="G24" s="69">
        <v>1</v>
      </c>
      <c r="H24" s="70">
        <f t="shared" si="0"/>
        <v>1</v>
      </c>
      <c r="I24" s="55" t="s">
        <v>100</v>
      </c>
      <c r="J24" s="1" t="s">
        <v>24</v>
      </c>
    </row>
    <row r="25" spans="1:10" s="34" customFormat="1" ht="150" customHeight="1" x14ac:dyDescent="0.25">
      <c r="A25" s="47">
        <v>22</v>
      </c>
      <c r="B25" s="35" t="s">
        <v>5</v>
      </c>
      <c r="C25" s="35" t="s">
        <v>6</v>
      </c>
      <c r="D25" s="35" t="s">
        <v>82</v>
      </c>
      <c r="F25" s="68">
        <v>1</v>
      </c>
      <c r="G25" s="69">
        <v>1</v>
      </c>
      <c r="H25" s="70">
        <f t="shared" si="0"/>
        <v>1</v>
      </c>
      <c r="I25" s="58" t="s">
        <v>100</v>
      </c>
    </row>
    <row r="26" spans="1:10" ht="173.25" x14ac:dyDescent="0.25">
      <c r="A26" s="46">
        <v>23</v>
      </c>
      <c r="B26" s="20" t="s">
        <v>5</v>
      </c>
      <c r="C26" s="20" t="s">
        <v>6</v>
      </c>
      <c r="D26" s="20" t="s">
        <v>83</v>
      </c>
      <c r="F26" s="68">
        <v>1</v>
      </c>
      <c r="G26" s="69">
        <v>1</v>
      </c>
      <c r="H26" s="70">
        <f t="shared" si="0"/>
        <v>1</v>
      </c>
      <c r="I26" s="55" t="s">
        <v>100</v>
      </c>
    </row>
    <row r="27" spans="1:10" ht="47.25" x14ac:dyDescent="0.25">
      <c r="A27" s="46">
        <v>24</v>
      </c>
      <c r="B27" s="20" t="s">
        <v>5</v>
      </c>
      <c r="C27" s="20" t="s">
        <v>6</v>
      </c>
      <c r="D27" s="20" t="s">
        <v>84</v>
      </c>
      <c r="F27" s="68">
        <v>1</v>
      </c>
      <c r="G27" s="69">
        <v>1</v>
      </c>
      <c r="H27" s="70">
        <f t="shared" si="0"/>
        <v>1</v>
      </c>
      <c r="I27" s="55" t="s">
        <v>100</v>
      </c>
    </row>
    <row r="28" spans="1:10" ht="94.5" x14ac:dyDescent="0.25">
      <c r="A28" s="46">
        <v>25</v>
      </c>
      <c r="B28" s="20" t="s">
        <v>5</v>
      </c>
      <c r="C28" s="20" t="s">
        <v>6</v>
      </c>
      <c r="D28" s="20" t="s">
        <v>85</v>
      </c>
      <c r="F28" s="68">
        <v>1</v>
      </c>
      <c r="G28" s="69">
        <v>1</v>
      </c>
      <c r="H28" s="70">
        <f t="shared" si="0"/>
        <v>1</v>
      </c>
      <c r="I28" s="55" t="s">
        <v>100</v>
      </c>
    </row>
    <row r="29" spans="1:10" ht="63" x14ac:dyDescent="0.25">
      <c r="A29" s="46">
        <v>26</v>
      </c>
      <c r="B29" s="20" t="s">
        <v>5</v>
      </c>
      <c r="C29" s="20" t="s">
        <v>6</v>
      </c>
      <c r="D29" s="20" t="s">
        <v>86</v>
      </c>
      <c r="F29" s="68">
        <v>1</v>
      </c>
      <c r="G29" s="69">
        <v>1</v>
      </c>
      <c r="H29" s="70">
        <f t="shared" si="0"/>
        <v>1</v>
      </c>
      <c r="I29" s="55" t="s">
        <v>100</v>
      </c>
    </row>
    <row r="30" spans="1:10" ht="90" x14ac:dyDescent="0.25">
      <c r="A30" s="46">
        <v>27</v>
      </c>
      <c r="B30" s="20" t="s">
        <v>5</v>
      </c>
      <c r="C30" s="42" t="s">
        <v>7</v>
      </c>
      <c r="D30" s="20" t="s">
        <v>87</v>
      </c>
      <c r="F30" s="68">
        <v>1</v>
      </c>
      <c r="G30" s="69">
        <v>0.93</v>
      </c>
      <c r="H30" s="70">
        <f t="shared" si="0"/>
        <v>0.93</v>
      </c>
      <c r="I30" s="55" t="s">
        <v>319</v>
      </c>
    </row>
    <row r="31" spans="1:10" ht="78.75" x14ac:dyDescent="0.25">
      <c r="A31" s="46">
        <v>28</v>
      </c>
      <c r="B31" s="20" t="s">
        <v>5</v>
      </c>
      <c r="C31" s="42" t="s">
        <v>7</v>
      </c>
      <c r="D31" s="20" t="s">
        <v>88</v>
      </c>
      <c r="F31" s="68">
        <v>1</v>
      </c>
      <c r="G31" s="69">
        <v>0.93</v>
      </c>
      <c r="H31" s="70">
        <f t="shared" si="0"/>
        <v>0.93</v>
      </c>
      <c r="I31" s="55" t="s">
        <v>297</v>
      </c>
    </row>
    <row r="32" spans="1:10" ht="47.25" x14ac:dyDescent="0.25">
      <c r="A32" s="46">
        <v>29</v>
      </c>
      <c r="B32" s="20" t="s">
        <v>5</v>
      </c>
      <c r="C32" s="42" t="s">
        <v>7</v>
      </c>
      <c r="D32" s="20" t="s">
        <v>89</v>
      </c>
      <c r="F32" s="71">
        <v>1</v>
      </c>
      <c r="G32" s="72">
        <v>1</v>
      </c>
      <c r="H32" s="70">
        <f t="shared" si="0"/>
        <v>1</v>
      </c>
      <c r="I32" s="55" t="s">
        <v>100</v>
      </c>
    </row>
    <row r="33" spans="1:9" ht="110.25" x14ac:dyDescent="0.25">
      <c r="A33" s="46">
        <v>30</v>
      </c>
      <c r="B33" s="20" t="s">
        <v>5</v>
      </c>
      <c r="C33" s="42" t="s">
        <v>7</v>
      </c>
      <c r="D33" s="20" t="s">
        <v>90</v>
      </c>
      <c r="F33" s="71">
        <v>1</v>
      </c>
      <c r="G33" s="72">
        <v>1</v>
      </c>
      <c r="H33" s="70">
        <f t="shared" si="0"/>
        <v>1</v>
      </c>
      <c r="I33" s="55" t="s">
        <v>232</v>
      </c>
    </row>
    <row r="34" spans="1:9" s="36" customFormat="1" ht="94.5" customHeight="1" x14ac:dyDescent="0.25">
      <c r="A34" s="47">
        <v>31</v>
      </c>
      <c r="B34" s="35" t="s">
        <v>8</v>
      </c>
      <c r="C34" s="35" t="s">
        <v>9</v>
      </c>
      <c r="D34" s="44" t="s">
        <v>91</v>
      </c>
      <c r="F34" s="73">
        <v>1</v>
      </c>
      <c r="G34" s="74">
        <v>1</v>
      </c>
      <c r="H34" s="70">
        <f t="shared" si="0"/>
        <v>1</v>
      </c>
      <c r="I34" s="58" t="s">
        <v>100</v>
      </c>
    </row>
    <row r="35" spans="1:9" ht="78.75" x14ac:dyDescent="0.25">
      <c r="A35" s="46">
        <v>32</v>
      </c>
      <c r="B35" s="40" t="s">
        <v>8</v>
      </c>
      <c r="C35" s="40" t="s">
        <v>9</v>
      </c>
      <c r="D35" s="22" t="s">
        <v>92</v>
      </c>
      <c r="F35" s="71">
        <v>1</v>
      </c>
      <c r="G35" s="72">
        <v>1</v>
      </c>
      <c r="H35" s="70">
        <f t="shared" si="0"/>
        <v>1</v>
      </c>
      <c r="I35" s="58" t="s">
        <v>100</v>
      </c>
    </row>
    <row r="36" spans="1:9" ht="47.25" x14ac:dyDescent="0.25">
      <c r="A36" s="46">
        <v>33</v>
      </c>
      <c r="B36" s="40" t="s">
        <v>8</v>
      </c>
      <c r="C36" s="40" t="s">
        <v>9</v>
      </c>
      <c r="D36" s="20" t="s">
        <v>93</v>
      </c>
      <c r="F36" s="71">
        <v>1</v>
      </c>
      <c r="G36" s="72">
        <v>1</v>
      </c>
      <c r="H36" s="70">
        <f t="shared" si="0"/>
        <v>1</v>
      </c>
      <c r="I36" s="58" t="s">
        <v>100</v>
      </c>
    </row>
    <row r="37" spans="1:9" ht="94.5" x14ac:dyDescent="0.25">
      <c r="A37" s="46">
        <v>34</v>
      </c>
      <c r="B37" s="40" t="s">
        <v>8</v>
      </c>
      <c r="C37" s="40" t="s">
        <v>9</v>
      </c>
      <c r="D37" s="20" t="s">
        <v>94</v>
      </c>
      <c r="F37" s="71">
        <v>1</v>
      </c>
      <c r="G37" s="72">
        <v>1</v>
      </c>
      <c r="H37" s="70">
        <f t="shared" si="0"/>
        <v>1</v>
      </c>
      <c r="I37" s="58" t="s">
        <v>100</v>
      </c>
    </row>
    <row r="38" spans="1:9" ht="63" x14ac:dyDescent="0.25">
      <c r="A38" s="46">
        <v>35</v>
      </c>
      <c r="B38" s="40" t="s">
        <v>8</v>
      </c>
      <c r="C38" s="40" t="s">
        <v>9</v>
      </c>
      <c r="D38" s="20" t="s">
        <v>95</v>
      </c>
      <c r="F38" s="71">
        <v>1</v>
      </c>
      <c r="G38" s="72">
        <v>1</v>
      </c>
      <c r="H38" s="70">
        <f t="shared" si="0"/>
        <v>1</v>
      </c>
      <c r="I38" s="58" t="s">
        <v>100</v>
      </c>
    </row>
    <row r="39" spans="1:9" ht="94.5" x14ac:dyDescent="0.25">
      <c r="A39" s="46">
        <v>36</v>
      </c>
      <c r="B39" s="40" t="s">
        <v>8</v>
      </c>
      <c r="C39" s="40" t="s">
        <v>9</v>
      </c>
      <c r="D39" s="20" t="s">
        <v>96</v>
      </c>
      <c r="F39" s="71">
        <v>1</v>
      </c>
      <c r="G39" s="72">
        <v>1</v>
      </c>
      <c r="H39" s="70">
        <f t="shared" si="0"/>
        <v>1</v>
      </c>
      <c r="I39" s="58" t="s">
        <v>100</v>
      </c>
    </row>
    <row r="40" spans="1:9" ht="47.25" x14ac:dyDescent="0.25">
      <c r="A40" s="46">
        <v>37</v>
      </c>
      <c r="B40" s="40" t="s">
        <v>8</v>
      </c>
      <c r="C40" s="40" t="s">
        <v>9</v>
      </c>
      <c r="D40" s="20" t="s">
        <v>97</v>
      </c>
      <c r="F40" s="71">
        <v>1</v>
      </c>
      <c r="G40" s="72">
        <v>1</v>
      </c>
      <c r="H40" s="70">
        <f t="shared" si="0"/>
        <v>1</v>
      </c>
      <c r="I40" s="58" t="s">
        <v>100</v>
      </c>
    </row>
    <row r="41" spans="1:9" s="36" customFormat="1" ht="123" customHeight="1" x14ac:dyDescent="0.25">
      <c r="A41" s="47">
        <v>38</v>
      </c>
      <c r="B41" s="35" t="s">
        <v>8</v>
      </c>
      <c r="C41" s="35" t="s">
        <v>9</v>
      </c>
      <c r="D41" s="35" t="s">
        <v>98</v>
      </c>
      <c r="F41" s="73">
        <v>1</v>
      </c>
      <c r="G41" s="74">
        <v>1</v>
      </c>
      <c r="H41" s="70">
        <f t="shared" si="0"/>
        <v>1</v>
      </c>
      <c r="I41" s="58" t="s">
        <v>100</v>
      </c>
    </row>
    <row r="42" spans="1:9" s="36" customFormat="1" ht="192.75" customHeight="1" x14ac:dyDescent="0.25">
      <c r="A42" s="47">
        <v>39</v>
      </c>
      <c r="B42" s="20" t="s">
        <v>10</v>
      </c>
      <c r="C42" s="20" t="s">
        <v>28</v>
      </c>
      <c r="D42" s="35" t="s">
        <v>52</v>
      </c>
      <c r="F42" s="73">
        <v>1</v>
      </c>
      <c r="G42" s="74">
        <v>1</v>
      </c>
      <c r="H42" s="70">
        <f t="shared" si="0"/>
        <v>1</v>
      </c>
      <c r="I42" s="58" t="s">
        <v>100</v>
      </c>
    </row>
    <row r="43" spans="1:9" ht="125.25" customHeight="1" x14ac:dyDescent="0.25">
      <c r="A43" s="46">
        <v>40</v>
      </c>
      <c r="B43" s="20" t="s">
        <v>10</v>
      </c>
      <c r="C43" s="20" t="s">
        <v>27</v>
      </c>
      <c r="D43" s="20" t="s">
        <v>53</v>
      </c>
      <c r="F43" s="71">
        <v>1</v>
      </c>
      <c r="G43" s="72">
        <v>1</v>
      </c>
      <c r="H43" s="70">
        <f t="shared" si="0"/>
        <v>1</v>
      </c>
      <c r="I43" s="55" t="s">
        <v>100</v>
      </c>
    </row>
    <row r="44" spans="1:9" ht="210" x14ac:dyDescent="0.25">
      <c r="A44" s="46">
        <v>41</v>
      </c>
      <c r="B44" s="20" t="s">
        <v>10</v>
      </c>
      <c r="C44" s="20" t="s">
        <v>27</v>
      </c>
      <c r="D44" s="20" t="s">
        <v>99</v>
      </c>
      <c r="F44" s="71">
        <v>1</v>
      </c>
      <c r="G44" s="72">
        <v>0.8</v>
      </c>
      <c r="H44" s="70">
        <f t="shared" si="0"/>
        <v>0.8</v>
      </c>
      <c r="I44" s="55" t="s">
        <v>128</v>
      </c>
    </row>
    <row r="45" spans="1:9" ht="126.75" customHeight="1" x14ac:dyDescent="0.25">
      <c r="A45" s="46">
        <v>42</v>
      </c>
      <c r="B45" s="20" t="s">
        <v>10</v>
      </c>
      <c r="C45" s="20" t="s">
        <v>10</v>
      </c>
      <c r="D45" s="20" t="s">
        <v>54</v>
      </c>
      <c r="F45" s="71">
        <v>1</v>
      </c>
      <c r="G45" s="72">
        <v>0.85</v>
      </c>
      <c r="H45" s="70">
        <f t="shared" si="0"/>
        <v>0.85</v>
      </c>
      <c r="I45" s="55" t="s">
        <v>154</v>
      </c>
    </row>
    <row r="46" spans="1:9" ht="240.75" customHeight="1" x14ac:dyDescent="0.25">
      <c r="A46" s="46">
        <v>43</v>
      </c>
      <c r="B46" s="20" t="s">
        <v>10</v>
      </c>
      <c r="C46" s="20" t="s">
        <v>29</v>
      </c>
      <c r="D46" s="20" t="s">
        <v>55</v>
      </c>
      <c r="F46" s="71">
        <v>1</v>
      </c>
      <c r="G46" s="72">
        <v>0.85</v>
      </c>
      <c r="H46" s="70">
        <f t="shared" si="0"/>
        <v>0.85</v>
      </c>
      <c r="I46" s="55" t="s">
        <v>113</v>
      </c>
    </row>
    <row r="47" spans="1:9" s="41" customFormat="1" ht="300" x14ac:dyDescent="0.25">
      <c r="A47" s="45">
        <v>44</v>
      </c>
      <c r="B47" s="20" t="s">
        <v>10</v>
      </c>
      <c r="C47" s="20" t="s">
        <v>10</v>
      </c>
      <c r="D47" s="35" t="s">
        <v>56</v>
      </c>
      <c r="F47" s="68">
        <v>1</v>
      </c>
      <c r="G47" s="69">
        <v>0.8</v>
      </c>
      <c r="H47" s="70">
        <f t="shared" si="0"/>
        <v>0.8</v>
      </c>
      <c r="I47" s="56" t="s">
        <v>166</v>
      </c>
    </row>
    <row r="48" spans="1:9" ht="110.25" x14ac:dyDescent="0.25">
      <c r="A48" s="46">
        <v>45</v>
      </c>
      <c r="B48" s="20" t="s">
        <v>10</v>
      </c>
      <c r="C48" s="20" t="s">
        <v>10</v>
      </c>
      <c r="D48" s="20" t="s">
        <v>57</v>
      </c>
      <c r="F48" s="71">
        <v>1</v>
      </c>
      <c r="G48" s="72">
        <v>0.95</v>
      </c>
      <c r="H48" s="70">
        <f>F48*G48</f>
        <v>0.95</v>
      </c>
      <c r="I48" s="55" t="s">
        <v>101</v>
      </c>
    </row>
    <row r="49" spans="1:9" ht="195" x14ac:dyDescent="0.25">
      <c r="A49" s="46">
        <v>46</v>
      </c>
      <c r="B49" s="20" t="s">
        <v>10</v>
      </c>
      <c r="C49" s="20" t="s">
        <v>10</v>
      </c>
      <c r="D49" s="20" t="s">
        <v>58</v>
      </c>
      <c r="F49" s="71">
        <v>1</v>
      </c>
      <c r="G49" s="72">
        <v>0.93</v>
      </c>
      <c r="H49" s="70">
        <f t="shared" si="0"/>
        <v>0.93</v>
      </c>
      <c r="I49" s="58" t="s">
        <v>104</v>
      </c>
    </row>
    <row r="50" spans="1:9" s="36" customFormat="1" ht="90.75" customHeight="1" x14ac:dyDescent="0.25">
      <c r="A50" s="47">
        <v>47</v>
      </c>
      <c r="B50" s="35" t="s">
        <v>10</v>
      </c>
      <c r="C50" s="35" t="s">
        <v>10</v>
      </c>
      <c r="D50" s="35" t="s">
        <v>59</v>
      </c>
      <c r="F50" s="73">
        <v>1</v>
      </c>
      <c r="G50" s="74">
        <v>0.95</v>
      </c>
      <c r="H50" s="70">
        <f t="shared" si="0"/>
        <v>0.95</v>
      </c>
      <c r="I50" s="58" t="s">
        <v>151</v>
      </c>
    </row>
    <row r="51" spans="1:9" ht="142.5" customHeight="1" x14ac:dyDescent="0.25">
      <c r="A51" s="46">
        <v>48</v>
      </c>
      <c r="B51" s="20" t="s">
        <v>10</v>
      </c>
      <c r="C51" s="20" t="s">
        <v>10</v>
      </c>
      <c r="D51" s="20" t="s">
        <v>60</v>
      </c>
      <c r="F51" s="71">
        <v>1</v>
      </c>
      <c r="G51" s="72">
        <v>0.95</v>
      </c>
      <c r="H51" s="70">
        <f t="shared" si="0"/>
        <v>0.95</v>
      </c>
      <c r="I51" s="55" t="s">
        <v>145</v>
      </c>
    </row>
  </sheetData>
  <mergeCells count="2">
    <mergeCell ref="B2:D2"/>
    <mergeCell ref="F2:I2"/>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1"/>
  <sheetViews>
    <sheetView zoomScaleNormal="100" workbookViewId="0">
      <pane xSplit="4" ySplit="3" topLeftCell="E50" activePane="bottomRight" state="frozen"/>
      <selection pane="topRight" activeCell="E1" sqref="E1"/>
      <selection pane="bottomLeft" activeCell="A4" sqref="A4"/>
      <selection pane="bottomRight" activeCell="H51" sqref="H51"/>
    </sheetView>
  </sheetViews>
  <sheetFormatPr defaultColWidth="9.140625" defaultRowHeight="15" x14ac:dyDescent="0.25"/>
  <cols>
    <col min="1" max="1" width="4.42578125" style="15" customWidth="1"/>
    <col min="2" max="3" width="20.7109375" style="1" customWidth="1"/>
    <col min="4" max="4" width="56.7109375" style="16" customWidth="1"/>
    <col min="5" max="5" width="6.7109375" style="1" customWidth="1"/>
    <col min="6" max="7" width="20.7109375" style="1" customWidth="1"/>
    <col min="8" max="8" width="9.7109375" style="1" customWidth="1"/>
    <col min="9" max="9" width="60.7109375" style="16" customWidth="1"/>
    <col min="10" max="10" width="1.7109375" style="1" customWidth="1"/>
    <col min="11" max="16384" width="9.140625" style="1"/>
  </cols>
  <sheetData>
    <row r="1" spans="1:9" x14ac:dyDescent="0.25">
      <c r="I1" s="1"/>
    </row>
    <row r="2" spans="1:9" ht="39.75" customHeight="1" x14ac:dyDescent="0.25">
      <c r="B2" s="88" t="s">
        <v>11</v>
      </c>
      <c r="C2" s="88"/>
      <c r="D2" s="88"/>
      <c r="F2" s="88" t="s">
        <v>50</v>
      </c>
      <c r="G2" s="88"/>
      <c r="H2" s="88"/>
      <c r="I2" s="88"/>
    </row>
    <row r="3" spans="1:9" ht="30" x14ac:dyDescent="0.25">
      <c r="B3" s="2" t="s">
        <v>0</v>
      </c>
      <c r="C3" s="2" t="s">
        <v>1</v>
      </c>
      <c r="D3" s="43" t="s">
        <v>2</v>
      </c>
      <c r="F3" s="3" t="s">
        <v>12</v>
      </c>
      <c r="G3" s="3" t="s">
        <v>13</v>
      </c>
      <c r="H3" s="3" t="s">
        <v>16</v>
      </c>
      <c r="I3" s="3" t="s">
        <v>14</v>
      </c>
    </row>
    <row r="4" spans="1:9" s="41" customFormat="1" ht="94.5" x14ac:dyDescent="0.25">
      <c r="A4" s="45">
        <v>1</v>
      </c>
      <c r="B4" s="40" t="s">
        <v>3</v>
      </c>
      <c r="C4" s="40" t="s">
        <v>4</v>
      </c>
      <c r="D4" s="40" t="s">
        <v>61</v>
      </c>
      <c r="F4" s="68">
        <v>1</v>
      </c>
      <c r="G4" s="69">
        <v>0.97</v>
      </c>
      <c r="H4" s="70">
        <f>F4*G4</f>
        <v>0.97</v>
      </c>
      <c r="I4" s="56" t="s">
        <v>337</v>
      </c>
    </row>
    <row r="5" spans="1:9" ht="409.5" x14ac:dyDescent="0.25">
      <c r="A5" s="46">
        <v>2</v>
      </c>
      <c r="B5" s="20" t="s">
        <v>3</v>
      </c>
      <c r="C5" s="20" t="s">
        <v>4</v>
      </c>
      <c r="D5" s="20" t="s">
        <v>62</v>
      </c>
      <c r="F5" s="71">
        <v>1</v>
      </c>
      <c r="G5" s="72">
        <v>0.82</v>
      </c>
      <c r="H5" s="70">
        <f t="shared" ref="H5:H41" si="0">F5*G5</f>
        <v>0.82</v>
      </c>
      <c r="I5" s="55" t="s">
        <v>375</v>
      </c>
    </row>
    <row r="6" spans="1:9" ht="409.5" x14ac:dyDescent="0.25">
      <c r="A6" s="46">
        <v>3</v>
      </c>
      <c r="B6" s="20" t="s">
        <v>3</v>
      </c>
      <c r="C6" s="20" t="s">
        <v>4</v>
      </c>
      <c r="D6" s="20" t="s">
        <v>63</v>
      </c>
      <c r="F6" s="68">
        <v>1</v>
      </c>
      <c r="G6" s="69">
        <v>0.84</v>
      </c>
      <c r="H6" s="70">
        <f t="shared" si="0"/>
        <v>0.84</v>
      </c>
      <c r="I6" s="55" t="s">
        <v>376</v>
      </c>
    </row>
    <row r="7" spans="1:9" ht="345" x14ac:dyDescent="0.25">
      <c r="A7" s="46">
        <v>4</v>
      </c>
      <c r="B7" s="20" t="s">
        <v>3</v>
      </c>
      <c r="C7" s="20" t="s">
        <v>4</v>
      </c>
      <c r="D7" s="20" t="s">
        <v>64</v>
      </c>
      <c r="F7" s="68">
        <v>1</v>
      </c>
      <c r="G7" s="69">
        <v>0.9</v>
      </c>
      <c r="H7" s="70">
        <f t="shared" si="0"/>
        <v>0.9</v>
      </c>
      <c r="I7" s="55" t="s">
        <v>340</v>
      </c>
    </row>
    <row r="8" spans="1:9" ht="409.5" x14ac:dyDescent="0.25">
      <c r="A8" s="46">
        <v>5</v>
      </c>
      <c r="B8" s="20" t="s">
        <v>3</v>
      </c>
      <c r="C8" s="20" t="s">
        <v>4</v>
      </c>
      <c r="D8" s="20" t="s">
        <v>65</v>
      </c>
      <c r="F8" s="68">
        <v>1</v>
      </c>
      <c r="G8" s="69">
        <v>0.75</v>
      </c>
      <c r="H8" s="70">
        <f t="shared" si="0"/>
        <v>0.75</v>
      </c>
      <c r="I8" s="55" t="s">
        <v>377</v>
      </c>
    </row>
    <row r="9" spans="1:9" s="36" customFormat="1" ht="409.5" x14ac:dyDescent="0.25">
      <c r="A9" s="47">
        <v>6</v>
      </c>
      <c r="B9" s="35" t="s">
        <v>3</v>
      </c>
      <c r="C9" s="35" t="s">
        <v>4</v>
      </c>
      <c r="D9" s="35" t="s">
        <v>66</v>
      </c>
      <c r="F9" s="68">
        <v>1</v>
      </c>
      <c r="G9" s="69">
        <v>0.69</v>
      </c>
      <c r="H9" s="70">
        <f t="shared" si="0"/>
        <v>0.69</v>
      </c>
      <c r="I9" s="58" t="s">
        <v>378</v>
      </c>
    </row>
    <row r="10" spans="1:9" ht="315" x14ac:dyDescent="0.25">
      <c r="A10" s="46">
        <v>7</v>
      </c>
      <c r="B10" s="20" t="s">
        <v>3</v>
      </c>
      <c r="C10" s="20" t="s">
        <v>4</v>
      </c>
      <c r="D10" s="20" t="s">
        <v>67</v>
      </c>
      <c r="F10" s="68">
        <v>1</v>
      </c>
      <c r="G10" s="69">
        <v>0.78</v>
      </c>
      <c r="H10" s="70">
        <f t="shared" si="0"/>
        <v>0.78</v>
      </c>
      <c r="I10" s="55" t="s">
        <v>379</v>
      </c>
    </row>
    <row r="11" spans="1:9" ht="315" x14ac:dyDescent="0.25">
      <c r="A11" s="46">
        <v>8</v>
      </c>
      <c r="B11" s="20" t="s">
        <v>3</v>
      </c>
      <c r="C11" s="20" t="s">
        <v>4</v>
      </c>
      <c r="D11" s="20" t="s">
        <v>68</v>
      </c>
      <c r="F11" s="68">
        <v>1</v>
      </c>
      <c r="G11" s="69">
        <v>0.9</v>
      </c>
      <c r="H11" s="70">
        <f t="shared" si="0"/>
        <v>0.9</v>
      </c>
      <c r="I11" s="55" t="s">
        <v>344</v>
      </c>
    </row>
    <row r="12" spans="1:9" ht="135" x14ac:dyDescent="0.25">
      <c r="A12" s="46">
        <v>9</v>
      </c>
      <c r="B12" s="20" t="s">
        <v>3</v>
      </c>
      <c r="C12" s="20" t="s">
        <v>4</v>
      </c>
      <c r="D12" s="20" t="s">
        <v>69</v>
      </c>
      <c r="F12" s="68">
        <v>1</v>
      </c>
      <c r="G12" s="69">
        <v>0.84</v>
      </c>
      <c r="H12" s="70">
        <f t="shared" si="0"/>
        <v>0.84</v>
      </c>
      <c r="I12" s="55" t="s">
        <v>345</v>
      </c>
    </row>
    <row r="13" spans="1:9" s="36" customFormat="1" ht="126" x14ac:dyDescent="0.25">
      <c r="A13" s="47">
        <v>10</v>
      </c>
      <c r="B13" s="35" t="s">
        <v>3</v>
      </c>
      <c r="C13" s="20" t="s">
        <v>4</v>
      </c>
      <c r="D13" s="35" t="s">
        <v>70</v>
      </c>
      <c r="F13" s="68">
        <v>1</v>
      </c>
      <c r="G13" s="69">
        <v>0.97</v>
      </c>
      <c r="H13" s="70">
        <f t="shared" si="0"/>
        <v>0.97</v>
      </c>
      <c r="I13" s="58" t="s">
        <v>380</v>
      </c>
    </row>
    <row r="14" spans="1:9" ht="285" x14ac:dyDescent="0.25">
      <c r="A14" s="46">
        <v>11</v>
      </c>
      <c r="B14" s="20" t="s">
        <v>25</v>
      </c>
      <c r="C14" s="20" t="s">
        <v>26</v>
      </c>
      <c r="D14" s="20" t="s">
        <v>71</v>
      </c>
      <c r="F14" s="68">
        <v>1</v>
      </c>
      <c r="G14" s="69">
        <v>0.94</v>
      </c>
      <c r="H14" s="70">
        <f t="shared" si="0"/>
        <v>0.94</v>
      </c>
      <c r="I14" s="55" t="s">
        <v>307</v>
      </c>
    </row>
    <row r="15" spans="1:9" ht="165" x14ac:dyDescent="0.25">
      <c r="A15" s="46">
        <v>12</v>
      </c>
      <c r="B15" s="20" t="s">
        <v>25</v>
      </c>
      <c r="C15" s="20" t="s">
        <v>26</v>
      </c>
      <c r="D15" s="20" t="s">
        <v>72</v>
      </c>
      <c r="F15" s="68">
        <v>1</v>
      </c>
      <c r="G15" s="69">
        <v>0.85</v>
      </c>
      <c r="H15" s="70">
        <f t="shared" si="0"/>
        <v>0.85</v>
      </c>
      <c r="I15" s="55" t="s">
        <v>308</v>
      </c>
    </row>
    <row r="16" spans="1:9" s="36" customFormat="1" ht="94.5" x14ac:dyDescent="0.25">
      <c r="A16" s="47">
        <v>13</v>
      </c>
      <c r="B16" s="35" t="s">
        <v>25</v>
      </c>
      <c r="C16" s="35" t="s">
        <v>26</v>
      </c>
      <c r="D16" s="35" t="s">
        <v>73</v>
      </c>
      <c r="F16" s="68">
        <v>1</v>
      </c>
      <c r="G16" s="69">
        <v>1</v>
      </c>
      <c r="H16" s="70">
        <f t="shared" si="0"/>
        <v>1</v>
      </c>
      <c r="I16" s="58" t="s">
        <v>100</v>
      </c>
    </row>
    <row r="17" spans="1:10" ht="90" x14ac:dyDescent="0.25">
      <c r="A17" s="46">
        <v>14</v>
      </c>
      <c r="B17" s="20" t="s">
        <v>25</v>
      </c>
      <c r="C17" s="20" t="s">
        <v>26</v>
      </c>
      <c r="D17" s="20" t="s">
        <v>74</v>
      </c>
      <c r="F17" s="68">
        <v>1</v>
      </c>
      <c r="G17" s="69">
        <v>0.6</v>
      </c>
      <c r="H17" s="70">
        <f t="shared" si="0"/>
        <v>0.6</v>
      </c>
      <c r="I17" s="55" t="s">
        <v>309</v>
      </c>
    </row>
    <row r="18" spans="1:10" ht="110.25" x14ac:dyDescent="0.25">
      <c r="A18" s="46">
        <v>15</v>
      </c>
      <c r="B18" s="20" t="s">
        <v>25</v>
      </c>
      <c r="C18" s="20" t="s">
        <v>26</v>
      </c>
      <c r="D18" s="20" t="s">
        <v>75</v>
      </c>
      <c r="F18" s="68">
        <v>1</v>
      </c>
      <c r="G18" s="69">
        <v>0.95</v>
      </c>
      <c r="H18" s="70">
        <f t="shared" si="0"/>
        <v>0.95</v>
      </c>
      <c r="I18" s="55" t="s">
        <v>310</v>
      </c>
    </row>
    <row r="19" spans="1:10" ht="47.25" x14ac:dyDescent="0.25">
      <c r="A19" s="46">
        <v>16</v>
      </c>
      <c r="B19" s="20" t="s">
        <v>5</v>
      </c>
      <c r="C19" s="40" t="s">
        <v>6</v>
      </c>
      <c r="D19" s="20" t="s">
        <v>76</v>
      </c>
      <c r="F19" s="68">
        <v>1</v>
      </c>
      <c r="G19" s="69">
        <v>1</v>
      </c>
      <c r="H19" s="70">
        <f t="shared" si="0"/>
        <v>1</v>
      </c>
      <c r="I19" s="55" t="s">
        <v>100</v>
      </c>
    </row>
    <row r="20" spans="1:10" ht="120" x14ac:dyDescent="0.25">
      <c r="A20" s="46">
        <v>17</v>
      </c>
      <c r="B20" s="20" t="s">
        <v>5</v>
      </c>
      <c r="C20" s="40" t="s">
        <v>6</v>
      </c>
      <c r="D20" s="20" t="s">
        <v>77</v>
      </c>
      <c r="F20" s="68">
        <v>1</v>
      </c>
      <c r="G20" s="69">
        <v>0.9</v>
      </c>
      <c r="H20" s="70">
        <f t="shared" si="0"/>
        <v>0.9</v>
      </c>
      <c r="I20" s="55" t="s">
        <v>311</v>
      </c>
    </row>
    <row r="21" spans="1:10" s="36" customFormat="1" ht="210" x14ac:dyDescent="0.25">
      <c r="A21" s="47">
        <v>18</v>
      </c>
      <c r="B21" s="35" t="s">
        <v>5</v>
      </c>
      <c r="C21" s="40" t="s">
        <v>6</v>
      </c>
      <c r="D21" s="35" t="s">
        <v>78</v>
      </c>
      <c r="F21" s="68">
        <v>1</v>
      </c>
      <c r="G21" s="69">
        <v>0.9</v>
      </c>
      <c r="H21" s="70">
        <f t="shared" si="0"/>
        <v>0.9</v>
      </c>
      <c r="I21" s="58" t="s">
        <v>275</v>
      </c>
    </row>
    <row r="22" spans="1:10" ht="330" x14ac:dyDescent="0.25">
      <c r="A22" s="46">
        <v>19</v>
      </c>
      <c r="B22" s="20" t="s">
        <v>5</v>
      </c>
      <c r="C22" s="40" t="s">
        <v>6</v>
      </c>
      <c r="D22" s="20" t="s">
        <v>79</v>
      </c>
      <c r="F22" s="68">
        <v>1</v>
      </c>
      <c r="G22" s="69">
        <v>0.72</v>
      </c>
      <c r="H22" s="70">
        <f t="shared" si="0"/>
        <v>0.72</v>
      </c>
      <c r="I22" s="55" t="s">
        <v>312</v>
      </c>
    </row>
    <row r="23" spans="1:10" ht="78.75" x14ac:dyDescent="0.25">
      <c r="A23" s="46">
        <v>20</v>
      </c>
      <c r="B23" s="20" t="s">
        <v>5</v>
      </c>
      <c r="C23" s="40" t="s">
        <v>6</v>
      </c>
      <c r="D23" s="20" t="s">
        <v>80</v>
      </c>
      <c r="F23" s="68">
        <v>1</v>
      </c>
      <c r="G23" s="69">
        <v>1</v>
      </c>
      <c r="H23" s="70">
        <f t="shared" si="0"/>
        <v>1</v>
      </c>
      <c r="I23" s="58" t="s">
        <v>100</v>
      </c>
    </row>
    <row r="24" spans="1:10" ht="141.75" x14ac:dyDescent="0.25">
      <c r="A24" s="46">
        <v>21</v>
      </c>
      <c r="B24" s="20" t="s">
        <v>5</v>
      </c>
      <c r="C24" s="40" t="s">
        <v>6</v>
      </c>
      <c r="D24" s="20" t="s">
        <v>81</v>
      </c>
      <c r="F24" s="68">
        <v>1</v>
      </c>
      <c r="G24" s="69">
        <v>1</v>
      </c>
      <c r="H24" s="70">
        <f t="shared" si="0"/>
        <v>1</v>
      </c>
      <c r="I24" s="55" t="s">
        <v>100</v>
      </c>
      <c r="J24" s="1" t="s">
        <v>24</v>
      </c>
    </row>
    <row r="25" spans="1:10" s="34" customFormat="1" ht="150" customHeight="1" x14ac:dyDescent="0.25">
      <c r="A25" s="47">
        <v>22</v>
      </c>
      <c r="B25" s="35" t="s">
        <v>5</v>
      </c>
      <c r="C25" s="35" t="s">
        <v>6</v>
      </c>
      <c r="D25" s="35" t="s">
        <v>82</v>
      </c>
      <c r="F25" s="68">
        <v>1</v>
      </c>
      <c r="G25" s="69">
        <v>1</v>
      </c>
      <c r="H25" s="70">
        <f t="shared" si="0"/>
        <v>1</v>
      </c>
      <c r="I25" s="58" t="s">
        <v>100</v>
      </c>
    </row>
    <row r="26" spans="1:10" ht="225" x14ac:dyDescent="0.25">
      <c r="A26" s="46">
        <v>23</v>
      </c>
      <c r="B26" s="20" t="s">
        <v>5</v>
      </c>
      <c r="C26" s="20" t="s">
        <v>6</v>
      </c>
      <c r="D26" s="20" t="s">
        <v>83</v>
      </c>
      <c r="F26" s="68">
        <v>1</v>
      </c>
      <c r="G26" s="69">
        <v>0.8</v>
      </c>
      <c r="H26" s="70">
        <f t="shared" si="0"/>
        <v>0.8</v>
      </c>
      <c r="I26" s="55" t="s">
        <v>313</v>
      </c>
    </row>
    <row r="27" spans="1:10" ht="47.25" x14ac:dyDescent="0.25">
      <c r="A27" s="46">
        <v>24</v>
      </c>
      <c r="B27" s="20" t="s">
        <v>5</v>
      </c>
      <c r="C27" s="20" t="s">
        <v>6</v>
      </c>
      <c r="D27" s="20" t="s">
        <v>84</v>
      </c>
      <c r="F27" s="68">
        <v>1</v>
      </c>
      <c r="G27" s="69">
        <v>1</v>
      </c>
      <c r="H27" s="70">
        <f t="shared" si="0"/>
        <v>1</v>
      </c>
      <c r="I27" s="55" t="s">
        <v>100</v>
      </c>
    </row>
    <row r="28" spans="1:10" ht="94.5" x14ac:dyDescent="0.25">
      <c r="A28" s="46">
        <v>25</v>
      </c>
      <c r="B28" s="20" t="s">
        <v>5</v>
      </c>
      <c r="C28" s="20" t="s">
        <v>6</v>
      </c>
      <c r="D28" s="20" t="s">
        <v>85</v>
      </c>
      <c r="F28" s="68">
        <v>1</v>
      </c>
      <c r="G28" s="69">
        <v>1</v>
      </c>
      <c r="H28" s="70">
        <f t="shared" si="0"/>
        <v>1</v>
      </c>
      <c r="I28" s="55" t="s">
        <v>100</v>
      </c>
    </row>
    <row r="29" spans="1:10" ht="63" x14ac:dyDescent="0.25">
      <c r="A29" s="46">
        <v>26</v>
      </c>
      <c r="B29" s="20" t="s">
        <v>5</v>
      </c>
      <c r="C29" s="20" t="s">
        <v>6</v>
      </c>
      <c r="D29" s="20" t="s">
        <v>86</v>
      </c>
      <c r="F29" s="68">
        <v>1</v>
      </c>
      <c r="G29" s="69">
        <v>1</v>
      </c>
      <c r="H29" s="70">
        <f t="shared" si="0"/>
        <v>1</v>
      </c>
      <c r="I29" s="55" t="s">
        <v>100</v>
      </c>
    </row>
    <row r="30" spans="1:10" ht="105" x14ac:dyDescent="0.25">
      <c r="A30" s="46">
        <v>27</v>
      </c>
      <c r="B30" s="20" t="s">
        <v>5</v>
      </c>
      <c r="C30" s="42" t="s">
        <v>7</v>
      </c>
      <c r="D30" s="20" t="s">
        <v>87</v>
      </c>
      <c r="F30" s="68">
        <v>1</v>
      </c>
      <c r="G30" s="69">
        <v>0.9</v>
      </c>
      <c r="H30" s="70">
        <f t="shared" si="0"/>
        <v>0.9</v>
      </c>
      <c r="I30" s="55" t="s">
        <v>230</v>
      </c>
    </row>
    <row r="31" spans="1:10" ht="150" x14ac:dyDescent="0.25">
      <c r="A31" s="46">
        <v>28</v>
      </c>
      <c r="B31" s="20" t="s">
        <v>5</v>
      </c>
      <c r="C31" s="42" t="s">
        <v>7</v>
      </c>
      <c r="D31" s="20" t="s">
        <v>88</v>
      </c>
      <c r="F31" s="68">
        <v>1</v>
      </c>
      <c r="G31" s="69">
        <v>0.83</v>
      </c>
      <c r="H31" s="70">
        <f t="shared" si="0"/>
        <v>0.83</v>
      </c>
      <c r="I31" s="55" t="s">
        <v>314</v>
      </c>
    </row>
    <row r="32" spans="1:10" ht="47.25" x14ac:dyDescent="0.25">
      <c r="A32" s="46">
        <v>29</v>
      </c>
      <c r="B32" s="20" t="s">
        <v>5</v>
      </c>
      <c r="C32" s="42" t="s">
        <v>7</v>
      </c>
      <c r="D32" s="20" t="s">
        <v>89</v>
      </c>
      <c r="F32" s="71">
        <v>1</v>
      </c>
      <c r="G32" s="72">
        <v>1</v>
      </c>
      <c r="H32" s="70">
        <f t="shared" si="0"/>
        <v>1</v>
      </c>
      <c r="I32" s="55" t="s">
        <v>100</v>
      </c>
    </row>
    <row r="33" spans="1:9" ht="110.25" x14ac:dyDescent="0.25">
      <c r="A33" s="46">
        <v>30</v>
      </c>
      <c r="B33" s="20" t="s">
        <v>5</v>
      </c>
      <c r="C33" s="42" t="s">
        <v>7</v>
      </c>
      <c r="D33" s="20" t="s">
        <v>90</v>
      </c>
      <c r="F33" s="71">
        <v>1</v>
      </c>
      <c r="G33" s="72">
        <v>1</v>
      </c>
      <c r="H33" s="70">
        <f t="shared" si="0"/>
        <v>1</v>
      </c>
      <c r="I33" s="55" t="s">
        <v>100</v>
      </c>
    </row>
    <row r="34" spans="1:9" s="36" customFormat="1" ht="94.5" customHeight="1" x14ac:dyDescent="0.25">
      <c r="A34" s="47">
        <v>31</v>
      </c>
      <c r="B34" s="35" t="s">
        <v>8</v>
      </c>
      <c r="C34" s="35" t="s">
        <v>9</v>
      </c>
      <c r="D34" s="44" t="s">
        <v>91</v>
      </c>
      <c r="F34" s="73">
        <v>1</v>
      </c>
      <c r="G34" s="74">
        <v>1</v>
      </c>
      <c r="H34" s="70">
        <f t="shared" si="0"/>
        <v>1</v>
      </c>
      <c r="I34" s="58" t="s">
        <v>100</v>
      </c>
    </row>
    <row r="35" spans="1:9" ht="78.75" x14ac:dyDescent="0.25">
      <c r="A35" s="46">
        <v>32</v>
      </c>
      <c r="B35" s="40" t="s">
        <v>8</v>
      </c>
      <c r="C35" s="40" t="s">
        <v>9</v>
      </c>
      <c r="D35" s="22" t="s">
        <v>92</v>
      </c>
      <c r="F35" s="71">
        <v>1</v>
      </c>
      <c r="G35" s="72">
        <v>1</v>
      </c>
      <c r="H35" s="70">
        <f t="shared" si="0"/>
        <v>1</v>
      </c>
      <c r="I35" s="58" t="s">
        <v>100</v>
      </c>
    </row>
    <row r="36" spans="1:9" ht="47.25" x14ac:dyDescent="0.25">
      <c r="A36" s="46">
        <v>33</v>
      </c>
      <c r="B36" s="40" t="s">
        <v>8</v>
      </c>
      <c r="C36" s="40" t="s">
        <v>9</v>
      </c>
      <c r="D36" s="20" t="s">
        <v>93</v>
      </c>
      <c r="F36" s="71">
        <v>1</v>
      </c>
      <c r="G36" s="72">
        <v>1</v>
      </c>
      <c r="H36" s="70">
        <f t="shared" si="0"/>
        <v>1</v>
      </c>
      <c r="I36" s="58" t="s">
        <v>100</v>
      </c>
    </row>
    <row r="37" spans="1:9" ht="94.5" x14ac:dyDescent="0.25">
      <c r="A37" s="46">
        <v>34</v>
      </c>
      <c r="B37" s="40" t="s">
        <v>8</v>
      </c>
      <c r="C37" s="40" t="s">
        <v>9</v>
      </c>
      <c r="D37" s="20" t="s">
        <v>94</v>
      </c>
      <c r="F37" s="71">
        <v>1</v>
      </c>
      <c r="G37" s="72">
        <v>1</v>
      </c>
      <c r="H37" s="70">
        <f t="shared" si="0"/>
        <v>1</v>
      </c>
      <c r="I37" s="58" t="s">
        <v>100</v>
      </c>
    </row>
    <row r="38" spans="1:9" ht="63" x14ac:dyDescent="0.25">
      <c r="A38" s="46">
        <v>35</v>
      </c>
      <c r="B38" s="40" t="s">
        <v>8</v>
      </c>
      <c r="C38" s="40" t="s">
        <v>9</v>
      </c>
      <c r="D38" s="20" t="s">
        <v>95</v>
      </c>
      <c r="F38" s="71">
        <v>1</v>
      </c>
      <c r="G38" s="72">
        <v>1</v>
      </c>
      <c r="H38" s="70">
        <f t="shared" si="0"/>
        <v>1</v>
      </c>
      <c r="I38" s="58" t="s">
        <v>100</v>
      </c>
    </row>
    <row r="39" spans="1:9" ht="94.5" x14ac:dyDescent="0.25">
      <c r="A39" s="46">
        <v>36</v>
      </c>
      <c r="B39" s="40" t="s">
        <v>8</v>
      </c>
      <c r="C39" s="40" t="s">
        <v>9</v>
      </c>
      <c r="D39" s="20" t="s">
        <v>96</v>
      </c>
      <c r="F39" s="71">
        <v>1</v>
      </c>
      <c r="G39" s="72">
        <v>1</v>
      </c>
      <c r="H39" s="70">
        <f t="shared" si="0"/>
        <v>1</v>
      </c>
      <c r="I39" s="58" t="s">
        <v>100</v>
      </c>
    </row>
    <row r="40" spans="1:9" ht="47.25" x14ac:dyDescent="0.25">
      <c r="A40" s="46">
        <v>37</v>
      </c>
      <c r="B40" s="40" t="s">
        <v>8</v>
      </c>
      <c r="C40" s="40" t="s">
        <v>9</v>
      </c>
      <c r="D40" s="20" t="s">
        <v>97</v>
      </c>
      <c r="F40" s="71">
        <v>1</v>
      </c>
      <c r="G40" s="72">
        <v>1</v>
      </c>
      <c r="H40" s="70">
        <f t="shared" si="0"/>
        <v>1</v>
      </c>
      <c r="I40" s="58" t="s">
        <v>100</v>
      </c>
    </row>
    <row r="41" spans="1:9" s="36" customFormat="1" ht="123" customHeight="1" x14ac:dyDescent="0.25">
      <c r="A41" s="47">
        <v>38</v>
      </c>
      <c r="B41" s="35" t="s">
        <v>8</v>
      </c>
      <c r="C41" s="35" t="s">
        <v>9</v>
      </c>
      <c r="D41" s="35" t="s">
        <v>98</v>
      </c>
      <c r="F41" s="73">
        <v>1</v>
      </c>
      <c r="G41" s="74">
        <v>1</v>
      </c>
      <c r="H41" s="70">
        <f t="shared" si="0"/>
        <v>1</v>
      </c>
      <c r="I41" s="58" t="s">
        <v>100</v>
      </c>
    </row>
    <row r="42" spans="1:9" s="36" customFormat="1" ht="192.75" customHeight="1" x14ac:dyDescent="0.25">
      <c r="A42" s="47">
        <v>39</v>
      </c>
      <c r="B42" s="20" t="s">
        <v>10</v>
      </c>
      <c r="C42" s="20" t="s">
        <v>28</v>
      </c>
      <c r="D42" s="35" t="s">
        <v>52</v>
      </c>
      <c r="F42" s="73">
        <v>1</v>
      </c>
      <c r="G42" s="74">
        <v>1</v>
      </c>
      <c r="H42" s="70">
        <f>F42*G42</f>
        <v>1</v>
      </c>
      <c r="I42" s="58" t="s">
        <v>100</v>
      </c>
    </row>
    <row r="43" spans="1:9" ht="125.25" customHeight="1" x14ac:dyDescent="0.25">
      <c r="A43" s="46">
        <v>40</v>
      </c>
      <c r="B43" s="20" t="s">
        <v>10</v>
      </c>
      <c r="C43" s="20" t="s">
        <v>27</v>
      </c>
      <c r="D43" s="20" t="s">
        <v>53</v>
      </c>
      <c r="F43" s="71">
        <v>1</v>
      </c>
      <c r="G43" s="72">
        <v>1</v>
      </c>
      <c r="H43" s="70">
        <f t="shared" ref="H43:H51" si="1">F43*G43</f>
        <v>1</v>
      </c>
      <c r="I43" s="55" t="s">
        <v>100</v>
      </c>
    </row>
    <row r="44" spans="1:9" ht="345" x14ac:dyDescent="0.25">
      <c r="A44" s="46">
        <v>41</v>
      </c>
      <c r="B44" s="20" t="s">
        <v>10</v>
      </c>
      <c r="C44" s="20" t="s">
        <v>27</v>
      </c>
      <c r="D44" s="20" t="s">
        <v>99</v>
      </c>
      <c r="F44" s="71">
        <v>1</v>
      </c>
      <c r="G44" s="72">
        <v>0.73</v>
      </c>
      <c r="H44" s="70">
        <f t="shared" si="1"/>
        <v>0.73</v>
      </c>
      <c r="I44" s="55" t="s">
        <v>129</v>
      </c>
    </row>
    <row r="45" spans="1:9" ht="186.75" customHeight="1" x14ac:dyDescent="0.25">
      <c r="A45" s="46">
        <v>42</v>
      </c>
      <c r="B45" s="20" t="s">
        <v>10</v>
      </c>
      <c r="C45" s="20" t="s">
        <v>10</v>
      </c>
      <c r="D45" s="20" t="s">
        <v>54</v>
      </c>
      <c r="F45" s="71">
        <v>1</v>
      </c>
      <c r="G45" s="72">
        <v>0.85</v>
      </c>
      <c r="H45" s="70">
        <f t="shared" si="1"/>
        <v>0.85</v>
      </c>
      <c r="I45" s="55" t="s">
        <v>154</v>
      </c>
    </row>
    <row r="46" spans="1:9" ht="240.75" customHeight="1" x14ac:dyDescent="0.25">
      <c r="A46" s="46">
        <v>43</v>
      </c>
      <c r="B46" s="20" t="s">
        <v>10</v>
      </c>
      <c r="C46" s="20" t="s">
        <v>29</v>
      </c>
      <c r="D46" s="20" t="s">
        <v>55</v>
      </c>
      <c r="F46" s="71">
        <v>1</v>
      </c>
      <c r="G46" s="72">
        <v>0.85</v>
      </c>
      <c r="H46" s="70">
        <f t="shared" si="1"/>
        <v>0.85</v>
      </c>
      <c r="I46" s="55" t="s">
        <v>112</v>
      </c>
    </row>
    <row r="47" spans="1:9" s="41" customFormat="1" ht="315" x14ac:dyDescent="0.25">
      <c r="A47" s="45">
        <v>44</v>
      </c>
      <c r="B47" s="20" t="s">
        <v>10</v>
      </c>
      <c r="C47" s="20" t="s">
        <v>10</v>
      </c>
      <c r="D47" s="35" t="s">
        <v>56</v>
      </c>
      <c r="F47" s="68">
        <v>1</v>
      </c>
      <c r="G47" s="69">
        <v>0.8</v>
      </c>
      <c r="H47" s="70">
        <f t="shared" si="1"/>
        <v>0.8</v>
      </c>
      <c r="I47" s="56" t="s">
        <v>162</v>
      </c>
    </row>
    <row r="48" spans="1:9" ht="110.25" x14ac:dyDescent="0.25">
      <c r="A48" s="46">
        <v>45</v>
      </c>
      <c r="B48" s="20" t="s">
        <v>10</v>
      </c>
      <c r="C48" s="20" t="s">
        <v>10</v>
      </c>
      <c r="D48" s="20" t="s">
        <v>57</v>
      </c>
      <c r="F48" s="71">
        <v>1</v>
      </c>
      <c r="G48" s="72">
        <v>0.98</v>
      </c>
      <c r="H48" s="70">
        <f>F48*G48</f>
        <v>0.98</v>
      </c>
      <c r="I48" s="55" t="s">
        <v>101</v>
      </c>
    </row>
    <row r="49" spans="1:9" ht="195" x14ac:dyDescent="0.25">
      <c r="A49" s="46">
        <v>46</v>
      </c>
      <c r="B49" s="20" t="s">
        <v>10</v>
      </c>
      <c r="C49" s="20" t="s">
        <v>10</v>
      </c>
      <c r="D49" s="20" t="s">
        <v>58</v>
      </c>
      <c r="F49" s="71">
        <v>1</v>
      </c>
      <c r="G49" s="72">
        <v>0.93</v>
      </c>
      <c r="H49" s="70">
        <f t="shared" si="1"/>
        <v>0.93</v>
      </c>
      <c r="I49" s="58" t="s">
        <v>104</v>
      </c>
    </row>
    <row r="50" spans="1:9" s="36" customFormat="1" ht="90.75" customHeight="1" x14ac:dyDescent="0.25">
      <c r="A50" s="47">
        <v>47</v>
      </c>
      <c r="B50" s="35" t="s">
        <v>10</v>
      </c>
      <c r="C50" s="35" t="s">
        <v>10</v>
      </c>
      <c r="D50" s="35" t="s">
        <v>59</v>
      </c>
      <c r="F50" s="73">
        <v>1</v>
      </c>
      <c r="G50" s="74">
        <v>0.95</v>
      </c>
      <c r="H50" s="70">
        <f t="shared" si="1"/>
        <v>0.95</v>
      </c>
      <c r="I50" s="58" t="s">
        <v>151</v>
      </c>
    </row>
    <row r="51" spans="1:9" ht="142.5" customHeight="1" x14ac:dyDescent="0.25">
      <c r="A51" s="46">
        <v>48</v>
      </c>
      <c r="B51" s="20" t="s">
        <v>10</v>
      </c>
      <c r="C51" s="20" t="s">
        <v>10</v>
      </c>
      <c r="D51" s="20" t="s">
        <v>60</v>
      </c>
      <c r="F51" s="71">
        <v>1</v>
      </c>
      <c r="G51" s="72">
        <v>0.85</v>
      </c>
      <c r="H51" s="70">
        <f t="shared" si="1"/>
        <v>0.85</v>
      </c>
      <c r="I51" s="55" t="s">
        <v>143</v>
      </c>
    </row>
  </sheetData>
  <mergeCells count="2">
    <mergeCell ref="B2:D2"/>
    <mergeCell ref="F2:I2"/>
  </mergeCells>
  <pageMargins left="0.511811024" right="0.511811024" top="0.78740157499999996" bottom="0.78740157499999996" header="0.31496062000000002" footer="0.31496062000000002"/>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Resumo</vt:lpstr>
      <vt:lpstr>Rio de Janeiro SBRJ</vt:lpstr>
      <vt:lpstr>Uberlândia SBUL</vt:lpstr>
      <vt:lpstr>Montes Claros SBMK</vt:lpstr>
      <vt:lpstr>Uberaba SBUR</vt:lpstr>
      <vt:lpstr>Jacarepaguá SBJR</vt:lpstr>
      <vt:lpstr>Belém SBBE</vt:lpstr>
      <vt:lpstr>Macapá SBMQ</vt:lpstr>
      <vt:lpstr>Santarém SBSN</vt:lpstr>
      <vt:lpstr>Marabá SBMA</vt:lpstr>
      <vt:lpstr>Parauapebas SBCJ</vt:lpstr>
      <vt:lpstr>Altamira SBHT</vt:lpstr>
      <vt:lpstr>São Paulo SBSP</vt:lpstr>
      <vt:lpstr>Campo Grande SBCG</vt:lpstr>
      <vt:lpstr>Campo de Marte SBMT</vt:lpstr>
      <vt:lpstr>Corumbá SBCR</vt:lpstr>
      <vt:lpstr>Ponta Porã SBPP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Thiago Costa Monteiro Caldeira</dc:creator>
  <cp:lastModifiedBy>Michele Nunes Freires Cerqueira</cp:lastModifiedBy>
  <cp:lastPrinted>2015-11-16T13:02:37Z</cp:lastPrinted>
  <dcterms:created xsi:type="dcterms:W3CDTF">2015-10-23T14:17:12Z</dcterms:created>
  <dcterms:modified xsi:type="dcterms:W3CDTF">2021-07-26T13:58:26Z</dcterms:modified>
</cp:coreProperties>
</file>